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tabRatio="957" activeTab="10"/>
  </bookViews>
  <sheets>
    <sheet name="Blad1" sheetId="1" r:id="rId1"/>
    <sheet name="Voorblad-Overzicht" sheetId="2" r:id="rId2"/>
    <sheet name="HT zandzakken" sheetId="3" r:id="rId3"/>
    <sheet name="HT bigbags" sheetId="4" r:id="rId4"/>
    <sheet name="HT strobalen" sheetId="5" r:id="rId5"/>
    <sheet name="HT folie" sheetId="6" r:id="rId6"/>
    <sheet name="STPH berm" sheetId="7" r:id="rId7"/>
    <sheet name="eenheidsprijzen" sheetId="8" r:id="rId8"/>
    <sheet name="stph peilopzetten" sheetId="9" r:id="rId9"/>
    <sheet name="stph opkisten wellen" sheetId="10" r:id="rId10"/>
    <sheet name="stbi berm aanbr." sheetId="11" r:id="rId11"/>
    <sheet name="stbi gewi aanbr" sheetId="12" r:id="rId12"/>
    <sheet name="STBU versteviging" sheetId="13" r:id="rId13"/>
    <sheet name="Bekramming" sheetId="14" r:id="rId14"/>
    <sheet name="zandzakkenvulmachine" sheetId="15" r:id="rId15"/>
    <sheet name="big bags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J. Elshof</author>
  </authors>
  <commentList>
    <comment ref="A6" authorId="0">
      <text>
        <r>
          <rPr>
            <sz val="11"/>
            <color indexed="8"/>
            <rFont val="Calibri"/>
            <family val="2"/>
          </rPr>
          <t>J. Elshof:</t>
        </r>
        <r>
          <rPr>
            <sz val="11"/>
            <color indexed="8"/>
            <rFont val="Arial"/>
            <family val="2"/>
          </rPr>
          <t xml:space="preserve">
diameter van wel 2m
opkisthoogte 45 cm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J. Elshof:</t>
        </r>
        <r>
          <rPr>
            <sz val="11"/>
            <color indexed="8"/>
            <rFont val="Arial"/>
            <family val="2"/>
          </rPr>
          <t xml:space="preserve">
veel looptijd, lokatie slecht toegangelijk
</t>
        </r>
      </text>
    </comment>
  </commentList>
</comments>
</file>

<file path=xl/comments12.xml><?xml version="1.0" encoding="utf-8"?>
<comments xmlns="http://schemas.openxmlformats.org/spreadsheetml/2006/main">
  <authors>
    <author>J. Elshof</author>
  </authors>
  <commentList>
    <comment ref="A22" authorId="0">
      <text>
        <r>
          <rPr>
            <sz val="11"/>
            <color indexed="8"/>
            <rFont val="Calibri"/>
            <family val="2"/>
          </rPr>
          <t>J. Elshof:</t>
        </r>
        <r>
          <rPr>
            <sz val="11"/>
            <color indexed="8"/>
            <rFont val="Arial"/>
            <family val="2"/>
          </rPr>
          <t xml:space="preserve">
rijplaten blijven liggen
</t>
        </r>
      </text>
    </comment>
    <comment ref="A38" authorId="0">
      <text>
        <r>
          <rPr>
            <sz val="11"/>
            <color indexed="8"/>
            <rFont val="Calibri"/>
            <family val="2"/>
          </rPr>
          <t>J. Elshof:</t>
        </r>
        <r>
          <rPr>
            <sz val="11"/>
            <color indexed="8"/>
            <rFont val="Arial"/>
            <family val="2"/>
          </rPr>
          <t xml:space="preserve">
container 6 m
 x 2,50m
</t>
        </r>
      </text>
    </comment>
  </commentList>
</comments>
</file>

<file path=xl/comments2.xml><?xml version="1.0" encoding="utf-8"?>
<comments xmlns="http://schemas.openxmlformats.org/spreadsheetml/2006/main">
  <authors>
    <author>Wijnand Evers</author>
  </authors>
  <commentList>
    <comment ref="F6" authorId="0">
      <text>
        <r>
          <rPr>
            <sz val="11"/>
            <color indexed="8"/>
            <rFont val="Calibri"/>
            <family val="2"/>
          </rPr>
          <t>Wijnand Evers:</t>
        </r>
        <r>
          <rPr>
            <sz val="11"/>
            <color indexed="8"/>
            <rFont val="Arial"/>
            <family val="2"/>
          </rPr>
          <t xml:space="preserve">
De personen en het materieel voor het vullen van de bigbags is niet mee gerekend deze kunnen onder aan de lijst ingevuld worden</t>
        </r>
      </text>
    </comment>
    <comment ref="F4" authorId="0">
      <text>
        <r>
          <rPr>
            <sz val="11"/>
            <color indexed="8"/>
            <rFont val="Calibri"/>
            <family val="2"/>
          </rPr>
          <t>Wijnand Evers:</t>
        </r>
        <r>
          <rPr>
            <sz val="11"/>
            <color indexed="8"/>
            <rFont val="Arial"/>
            <family val="2"/>
          </rPr>
          <t xml:space="preserve">
personeel en materieel voor het vullen van de zandzakken is niet mee gerekend deze kunnen onder aan de lijst ingevuld worden</t>
        </r>
      </text>
    </comment>
    <comment ref="F5" authorId="0">
      <text>
        <r>
          <rPr>
            <sz val="11"/>
            <color indexed="8"/>
            <rFont val="Calibri"/>
            <family val="2"/>
          </rPr>
          <t>Wijnand Evers:</t>
        </r>
        <r>
          <rPr>
            <sz val="11"/>
            <color indexed="8"/>
            <rFont val="Arial"/>
            <family val="2"/>
          </rPr>
          <t xml:space="preserve">
personeel en materieel voor het vullen van de zandzakken is niet mee gerekend deze kunnen onder aan de lijst ingevuld worden</t>
        </r>
      </text>
    </comment>
    <comment ref="F7" authorId="0">
      <text>
        <r>
          <rPr>
            <sz val="11"/>
            <color indexed="8"/>
            <rFont val="Calibri"/>
            <family val="2"/>
          </rPr>
          <t>Wijnand Evers:</t>
        </r>
        <r>
          <rPr>
            <sz val="11"/>
            <color indexed="8"/>
            <rFont val="Arial"/>
            <family val="2"/>
          </rPr>
          <t xml:space="preserve">
Wijnand Evers:
De personen en het materieel voor het vullen van de bigbags is niet mee gerekend deze kunnen onder aan de lijst ingevuld worden</t>
        </r>
      </text>
    </comment>
    <comment ref="F8" authorId="0">
      <text>
        <r>
          <rPr>
            <sz val="11"/>
            <color indexed="8"/>
            <rFont val="Calibri"/>
            <family val="2"/>
          </rPr>
          <t>Wijnand Evers:
Wijnand Evers:
De personen en het materieel voor het vullen van de bigbags is niet mee gerekend deze kunnen onder aan de lijst ingevuld worden</t>
        </r>
        <r>
          <rPr>
            <sz val="11"/>
            <color indexed="8"/>
            <rFont val="Arial"/>
            <family val="2"/>
          </rPr>
          <t xml:space="preserve">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Wijnand Evers:</t>
        </r>
        <r>
          <rPr>
            <sz val="11"/>
            <color indexed="8"/>
            <rFont val="Arial"/>
            <family val="2"/>
          </rPr>
          <t xml:space="preserve">
formule aanpassen
</t>
        </r>
      </text>
    </comment>
    <comment ref="F17" authorId="0">
      <text>
        <r>
          <rPr>
            <sz val="11"/>
            <color indexed="8"/>
            <rFont val="Calibri"/>
            <family val="2"/>
          </rPr>
          <t>Wijnand Evers:</t>
        </r>
        <r>
          <rPr>
            <sz val="11"/>
            <color indexed="8"/>
            <rFont val="Arial"/>
            <family val="2"/>
          </rPr>
          <t xml:space="preserve">
De personen en het materieel voor het vullen van de bigbags is niet mee gerekend deze kunnen onder aan de lijst ingevuld worden</t>
        </r>
      </text>
    </comment>
  </commentList>
</comments>
</file>

<file path=xl/comments6.xml><?xml version="1.0" encoding="utf-8"?>
<comments xmlns="http://schemas.openxmlformats.org/spreadsheetml/2006/main">
  <authors>
    <author>J. Elshof</author>
  </authors>
  <commentList>
    <comment ref="A17" authorId="0">
      <text>
        <r>
          <rPr>
            <sz val="11"/>
            <color indexed="8"/>
            <rFont val="Calibri"/>
            <family val="2"/>
          </rPr>
          <t>J. Elshof:</t>
        </r>
        <r>
          <rPr>
            <sz val="11"/>
            <color indexed="8"/>
            <rFont val="Arial"/>
            <family val="2"/>
          </rPr>
          <t xml:space="preserve">
11 pennen per m1</t>
        </r>
      </text>
    </comment>
    <comment ref="A29" authorId="0">
      <text>
        <r>
          <rPr>
            <sz val="11"/>
            <color indexed="8"/>
            <rFont val="Calibri"/>
            <family val="2"/>
          </rPr>
          <t>J. Elshof:</t>
        </r>
        <r>
          <rPr>
            <sz val="11"/>
            <color indexed="8"/>
            <rFont val="Arial"/>
            <family val="2"/>
          </rPr>
          <t xml:space="preserve">
zandzakken niet dicht bij werk, kan geen shovel over zeil rijden.</t>
        </r>
      </text>
    </comment>
  </commentList>
</comments>
</file>

<file path=xl/comments7.xml><?xml version="1.0" encoding="utf-8"?>
<comments xmlns="http://schemas.openxmlformats.org/spreadsheetml/2006/main">
  <authors>
    <author>J. Elshof</author>
  </authors>
  <commentList>
    <comment ref="A9" authorId="0">
      <text>
        <r>
          <rPr>
            <sz val="11"/>
            <color indexed="8"/>
            <rFont val="Calibri"/>
            <family val="2"/>
          </rPr>
          <t>J. Elshof:</t>
        </r>
        <r>
          <rPr>
            <sz val="11"/>
            <color indexed="8"/>
            <rFont val="Arial"/>
            <family val="2"/>
          </rPr>
          <t xml:space="preserve">
goede bereikbaarheid, zonder rijplaten over eigen werk. Putafstand 10 km
rijtijd 50 minuten. Werkdag 8 uur
</t>
        </r>
      </text>
    </comment>
  </commentList>
</comments>
</file>

<file path=xl/comments9.xml><?xml version="1.0" encoding="utf-8"?>
<comments xmlns="http://schemas.openxmlformats.org/spreadsheetml/2006/main">
  <authors>
    <author>J. Elshof</author>
  </authors>
  <commentList>
    <comment ref="A19" authorId="0">
      <text>
        <r>
          <rPr>
            <sz val="11"/>
            <color indexed="8"/>
            <rFont val="Calibri"/>
            <family val="2"/>
          </rPr>
          <t>J. Elshof:</t>
        </r>
        <r>
          <rPr>
            <sz val="11"/>
            <color indexed="8"/>
            <rFont val="Arial"/>
            <family val="2"/>
          </rPr>
          <t xml:space="preserve">
veel looptijd, locatie slecht toegangelijk</t>
        </r>
      </text>
    </comment>
  </commentList>
</comments>
</file>

<file path=xl/sharedStrings.xml><?xml version="1.0" encoding="utf-8"?>
<sst xmlns="http://schemas.openxmlformats.org/spreadsheetml/2006/main" count="627" uniqueCount="253">
  <si>
    <t>HT:</t>
  </si>
  <si>
    <t>STPH:</t>
  </si>
  <si>
    <t>STBI:</t>
  </si>
  <si>
    <t>STBU:</t>
  </si>
  <si>
    <t>STMI</t>
  </si>
  <si>
    <t>STBK:</t>
  </si>
  <si>
    <t>STVL (Zettingsvloeiing)</t>
  </si>
  <si>
    <t>1.     Zandzakken</t>
  </si>
  <si>
    <t>2.     Erosie tegengaan</t>
  </si>
  <si>
    <t>3.     Bigbags</t>
  </si>
  <si>
    <t>4.     Strobalen</t>
  </si>
  <si>
    <t>5.     Noodwaterkering</t>
  </si>
  <si>
    <t>6.     Grondwaterlichaam met folie afdekken</t>
  </si>
  <si>
    <t>1.     Berm aanbrengen</t>
  </si>
  <si>
    <t>2.     Peil opzetten kwelsloot</t>
  </si>
  <si>
    <t>3.     Opkisten v. wellen</t>
  </si>
  <si>
    <t>4.     Afdekken i.c.m. grond</t>
  </si>
  <si>
    <t>5.     Kleikist aanbrengen (voor achterloopsheid)</t>
  </si>
  <si>
    <t>1.     Verkeer stilleggen</t>
  </si>
  <si>
    <t>2.     Grondberm aanbrengen</t>
  </si>
  <si>
    <t>3.     Extra draineren</t>
  </si>
  <si>
    <t>4.     Talud verflauwen</t>
  </si>
  <si>
    <t>5.     Gewichten aanbrengen (Waterconainer, big bags, etc.)</t>
  </si>
  <si>
    <t>1.     Verflauwen</t>
  </si>
  <si>
    <t>2.     Verkeer stilleggen</t>
  </si>
  <si>
    <t>3.     Gewicht of berm aanbrengen</t>
  </si>
  <si>
    <t>4.     Onderwater verstevigen</t>
  </si>
  <si>
    <t>1.     Verflauwen binnenberm  door open trekken(Zand)</t>
  </si>
  <si>
    <t>2.     Draineren  (Zand)</t>
  </si>
  <si>
    <t>3.     Verflauwen door aanvullen (klei dijk met zandkern)</t>
  </si>
  <si>
    <t>4.     Gewicht aanbrengen</t>
  </si>
  <si>
    <t>5.     Draineren i.c.m. aanbrengen extra filterlaag</t>
  </si>
  <si>
    <t>1.     Bekramming</t>
  </si>
  <si>
    <t>2.     Doorzaaien</t>
  </si>
  <si>
    <t>3.     Extra bemesten</t>
  </si>
  <si>
    <t>4.     Schimmel injecteren (?)</t>
  </si>
  <si>
    <t>1.     Extra bestorten</t>
  </si>
  <si>
    <t>2.     Oever verondiepen</t>
  </si>
  <si>
    <t>DIJKEN</t>
  </si>
  <si>
    <t>KUNSTWERKEN</t>
  </si>
  <si>
    <t>zie maatregelen voor dijken</t>
  </si>
  <si>
    <t>STCG:</t>
  </si>
  <si>
    <t>STCO:</t>
  </si>
  <si>
    <t>1. Peil opzetten achterliggend water</t>
  </si>
  <si>
    <t>2. kleikist aanbrengen</t>
  </si>
  <si>
    <t>Benodigd materiaal 
per 100 m'</t>
  </si>
  <si>
    <t>Benodigd materieel 
per 100 m'</t>
  </si>
  <si>
    <t>Benodigd minimaal aantal mensen 
per 100 m'</t>
  </si>
  <si>
    <t xml:space="preserve">Aanlegsnelheid 
per 100 m' </t>
  </si>
  <si>
    <t>Kosten 
per 100 m'</t>
  </si>
  <si>
    <t>2. Afdammen voorzijde</t>
  </si>
  <si>
    <t>Aantal km afgetoetst</t>
  </si>
  <si>
    <t>Kosten totaal</t>
  </si>
  <si>
    <t>Evt 2x uitvoeren 1x voor kleine omvang / 1x voor grote omvang. (bijv. HT - 20 cm en 40 cm)</t>
  </si>
  <si>
    <t xml:space="preserve">Hierbij graag aantal 'standaard' uitgangspunten aanhouden als: goed bereikbaar, transportafstand is X km, enz. </t>
  </si>
  <si>
    <t>aantal zandzakken/m1</t>
  </si>
  <si>
    <t>hoogte 30 cm</t>
  </si>
  <si>
    <t>standaard afmeting zandzak lang 0,40 hoog 0,15</t>
  </si>
  <si>
    <t>zand/zak</t>
  </si>
  <si>
    <t>zakken/100m</t>
  </si>
  <si>
    <t>totaal/100m1</t>
  </si>
  <si>
    <t>benodigde hoeveelheid zand m3</t>
  </si>
  <si>
    <t>zandzakkenvulmachine</t>
  </si>
  <si>
    <t>heftruck</t>
  </si>
  <si>
    <t>Vullen zandzakken, 1000/uur</t>
  </si>
  <si>
    <t>personen</t>
  </si>
  <si>
    <t>pallets</t>
  </si>
  <si>
    <t>shovel/mobiele kraan</t>
  </si>
  <si>
    <t>Benodigd materieel leggen zandzakken</t>
  </si>
  <si>
    <t>benodigde personen</t>
  </si>
  <si>
    <t>seconden/zak</t>
  </si>
  <si>
    <t>transport zandzakken.trekker/wagen, vrachtauto</t>
  </si>
  <si>
    <t>standaardlengte</t>
  </si>
  <si>
    <t>aantal zakken/uur</t>
  </si>
  <si>
    <t>benodigde tijd uren</t>
  </si>
  <si>
    <t>tarief</t>
  </si>
  <si>
    <t>kosten ex btw? 100 m</t>
  </si>
  <si>
    <t>zandzak</t>
  </si>
  <si>
    <t>benodige personen</t>
  </si>
  <si>
    <t>zand   kosten in benodigde hoeveelheid</t>
  </si>
  <si>
    <t>zandzakken  kosten in benodigde hoeveelheid</t>
  </si>
  <si>
    <t>totaal</t>
  </si>
  <si>
    <t>benodigd aantal zandzakken/m</t>
  </si>
  <si>
    <t>lang 0,40</t>
  </si>
  <si>
    <t>hoog 0,15</t>
  </si>
  <si>
    <t xml:space="preserve"> hoogte m1</t>
  </si>
  <si>
    <t>aantal bigbags/m1</t>
  </si>
  <si>
    <t>Big Bags</t>
  </si>
  <si>
    <t>Benodigd materieel plaatsen big bags</t>
  </si>
  <si>
    <t>transport bigbags.trekker/wagen, vrachtauto</t>
  </si>
  <si>
    <t>benodige personen lossen/ plaatsen en folie</t>
  </si>
  <si>
    <t xml:space="preserve">personen </t>
  </si>
  <si>
    <t>Vullen bigbags, 60/uur</t>
  </si>
  <si>
    <t>shovel met bigbag vuller</t>
  </si>
  <si>
    <t>bigbags  kosten in benodigde hoeveelheid</t>
  </si>
  <si>
    <t>Zandzakken t.b.v afwerken</t>
  </si>
  <si>
    <t>folie 8 m breed, rol 50 m,</t>
  </si>
  <si>
    <t>Totaal</t>
  </si>
  <si>
    <t>aantal strobalen/m1</t>
  </si>
  <si>
    <t>balen/100m</t>
  </si>
  <si>
    <t>aantal balen/uur</t>
  </si>
  <si>
    <t>stro balen</t>
  </si>
  <si>
    <t>Benodigd materieel plaatsen stro balen</t>
  </si>
  <si>
    <t>transport  zandzakken.trekker/wagen, vrachtauto</t>
  </si>
  <si>
    <t>folie 4 m breed, rol 50 m,</t>
  </si>
  <si>
    <t>plaatsen strobalen</t>
  </si>
  <si>
    <t>afzakken met zandzakken</t>
  </si>
  <si>
    <t>seconden/baal</t>
  </si>
  <si>
    <t>Afmeting dekkleden 8*5 m1</t>
  </si>
  <si>
    <t>kleden/100m</t>
  </si>
  <si>
    <t>aantal kleden/m1</t>
  </si>
  <si>
    <t>leggen kleden 1 m op buitentalud 4 meter op kruin en 10 meter op binnentalud/berm</t>
  </si>
  <si>
    <t>transport folie gelijk met zandzakken.trekker/wagen, vrachtauto</t>
  </si>
  <si>
    <t>benodige personen lossen/leggen en plaatsen pennen folie</t>
  </si>
  <si>
    <t>seconden/zeil</t>
  </si>
  <si>
    <t>aantal zeilen/uur</t>
  </si>
  <si>
    <t>benodigd materiaal legggen zeil</t>
  </si>
  <si>
    <t>pennen groot</t>
  </si>
  <si>
    <t>breedte te maken aanvulling</t>
  </si>
  <si>
    <t>dikte</t>
  </si>
  <si>
    <t>shovel</t>
  </si>
  <si>
    <t>capaciteit/dag</t>
  </si>
  <si>
    <t>vrachauto/kieper 15 m3</t>
  </si>
  <si>
    <t>Gunstige Situatie</t>
  </si>
  <si>
    <t>rijplaten</t>
  </si>
  <si>
    <t>shovel leggen rijplaten</t>
  </si>
  <si>
    <t xml:space="preserve">shovel </t>
  </si>
  <si>
    <t>Geo textiel op maaiveld</t>
  </si>
  <si>
    <t>persoon uitrollen doek</t>
  </si>
  <si>
    <t>vrachtauto 15 m3</t>
  </si>
  <si>
    <t>manuur</t>
  </si>
  <si>
    <t>geo textiel</t>
  </si>
  <si>
    <t>big bags</t>
  </si>
  <si>
    <t xml:space="preserve">zand </t>
  </si>
  <si>
    <t>strobalen</t>
  </si>
  <si>
    <t>mobiel kraan</t>
  </si>
  <si>
    <t>trekker platte wagen</t>
  </si>
  <si>
    <t>pennen klein</t>
  </si>
  <si>
    <t>eenheden</t>
  </si>
  <si>
    <t>m2</t>
  </si>
  <si>
    <t>uur</t>
  </si>
  <si>
    <t>dag</t>
  </si>
  <si>
    <t>m3</t>
  </si>
  <si>
    <t>Zand      hoeveelheid m3/M1</t>
  </si>
  <si>
    <t>met behulp stuw/gemaal</t>
  </si>
  <si>
    <t>peilopzet als gevolg van kwel, tijd meerdere uren afhankelijk van kweldruk.</t>
  </si>
  <si>
    <t>met behulp zandzakken</t>
  </si>
  <si>
    <t>aantal zandzakken/dam</t>
  </si>
  <si>
    <t>1 dam  met zandzakken per 100 m</t>
  </si>
  <si>
    <t>aantal dammen</t>
  </si>
  <si>
    <t>zandzakken leeg</t>
  </si>
  <si>
    <t>stuk</t>
  </si>
  <si>
    <t>ex. Btw</t>
  </si>
  <si>
    <t>2 wellen  met zandzakken per 100 m</t>
  </si>
  <si>
    <t>aantal zandzakken/wel</t>
  </si>
  <si>
    <t>aantal wellen</t>
  </si>
  <si>
    <t>geotextiel</t>
  </si>
  <si>
    <t>Ongunstige situatie</t>
  </si>
  <si>
    <t>aantal bigbags/m2</t>
  </si>
  <si>
    <t>breedte aanvulling</t>
  </si>
  <si>
    <t>benodige personen lossen/ plaatsen</t>
  </si>
  <si>
    <t>landbouwfolie 8 meter breed</t>
  </si>
  <si>
    <t>m1</t>
  </si>
  <si>
    <t>landbouwfolie 4 meter breed</t>
  </si>
  <si>
    <t>per 2 kleden inclusief overlap 75 m2, overlap in lengte richtiing 0,20m1</t>
  </si>
  <si>
    <t>dekkleden 8*5 m</t>
  </si>
  <si>
    <t>containers /m2</t>
  </si>
  <si>
    <t>containers/100m</t>
  </si>
  <si>
    <t>container</t>
  </si>
  <si>
    <t xml:space="preserve">Containers </t>
  </si>
  <si>
    <t>landbouwfolie 8* 50 m 6 rollen nodig</t>
  </si>
  <si>
    <t>personen leggen folie</t>
  </si>
  <si>
    <t>Benodigd materieel containers</t>
  </si>
  <si>
    <t>tijd/ container sec</t>
  </si>
  <si>
    <t xml:space="preserve">containers per uur </t>
  </si>
  <si>
    <t>vrachtauto</t>
  </si>
  <si>
    <t>stuk/week</t>
  </si>
  <si>
    <t>Vullen containers</t>
  </si>
  <si>
    <t>inhoud containers</t>
  </si>
  <si>
    <t>trekker+ pomp 55 m3</t>
  </si>
  <si>
    <t>totaal tijd</t>
  </si>
  <si>
    <t>benodigde tijd</t>
  </si>
  <si>
    <t>af te dekken oppervlakte/m1</t>
  </si>
  <si>
    <t>kostprijs /m2</t>
  </si>
  <si>
    <t>rendement kleden %</t>
  </si>
  <si>
    <t>Afmeting geotextiel 5 mx 100</t>
  </si>
  <si>
    <t>kostprijs /m2 geotextiel</t>
  </si>
  <si>
    <t>aantal meters/min</t>
  </si>
  <si>
    <t>Toetsspoor</t>
  </si>
  <si>
    <t>Bigbags</t>
  </si>
  <si>
    <t>Strobalen</t>
  </si>
  <si>
    <t>Folie aanbrengen</t>
  </si>
  <si>
    <t xml:space="preserve">aanlegsnelheid </t>
  </si>
  <si>
    <t xml:space="preserve">Kosten </t>
  </si>
  <si>
    <t>benodigde mensen</t>
  </si>
  <si>
    <t>Piping</t>
  </si>
  <si>
    <t>transport geotextiel gelijk met zandzakken.trekker/wagen, vrachtauto</t>
  </si>
  <si>
    <t>benodigd materiaal legggen geotextiel</t>
  </si>
  <si>
    <t>pennen groot/m1</t>
  </si>
  <si>
    <t>mobiele kraan</t>
  </si>
  <si>
    <t xml:space="preserve">kraan </t>
  </si>
  <si>
    <t>tractor</t>
  </si>
  <si>
    <t>zandzakken</t>
  </si>
  <si>
    <t>zand m3</t>
  </si>
  <si>
    <t xml:space="preserve">Hoogte </t>
  </si>
  <si>
    <t>Zandzakken 30 cm</t>
  </si>
  <si>
    <t>Zandzakken 45 cm</t>
  </si>
  <si>
    <t>hoogte 45 cm</t>
  </si>
  <si>
    <t>bigbags</t>
  </si>
  <si>
    <t xml:space="preserve">leggen geotextiel buitentalud bij afslag/gaten </t>
  </si>
  <si>
    <t xml:space="preserve">Lengte van de </t>
  </si>
  <si>
    <t>werkzaamheden</t>
  </si>
  <si>
    <t>leggen bekramming, enkele baan</t>
  </si>
  <si>
    <t>RVS staaldraad 4 mm</t>
  </si>
  <si>
    <t xml:space="preserve">aantal meters/min </t>
  </si>
  <si>
    <t>benodigd materiaal plaatsen pennen</t>
  </si>
  <si>
    <t>benodige personen leggen geotextiel</t>
  </si>
  <si>
    <t>pennen klein t.b.v. vastzetten zakken</t>
  </si>
  <si>
    <t>pennen-groot</t>
  </si>
  <si>
    <t>Dekkleed</t>
  </si>
  <si>
    <t>8x5</t>
  </si>
  <si>
    <t>kosten ex btw/ 100 m</t>
  </si>
  <si>
    <t>benodige personen aanbrengen pennen/ draad</t>
  </si>
  <si>
    <t>Aanbrengen piping berm onguns</t>
  </si>
  <si>
    <t>4x1m</t>
  </si>
  <si>
    <t>in uren</t>
  </si>
  <si>
    <t>Aanbrengen piping berm gunstig</t>
  </si>
  <si>
    <t>Peil opzetten mbv stuw/gemaal</t>
  </si>
  <si>
    <t>stabi binnen</t>
  </si>
  <si>
    <t>Aanbrengen stabi berm gunstig</t>
  </si>
  <si>
    <t>Aanbrengen stabi berm onguns</t>
  </si>
  <si>
    <t>Gewicht aanbrengen Big Bag</t>
  </si>
  <si>
    <t>Container</t>
  </si>
  <si>
    <t>10,5 m3</t>
  </si>
  <si>
    <t>Lanbouwfolie</t>
  </si>
  <si>
    <t>55 m3</t>
  </si>
  <si>
    <t>Tractor+pomp</t>
  </si>
  <si>
    <t>stbu buiten</t>
  </si>
  <si>
    <t>Pennen</t>
  </si>
  <si>
    <t>Groot</t>
  </si>
  <si>
    <t>geotextiel+zakken schade herstel</t>
  </si>
  <si>
    <t>Staaldraad</t>
  </si>
  <si>
    <t>Klein</t>
  </si>
  <si>
    <t>Bekramming</t>
  </si>
  <si>
    <t>Aantal te</t>
  </si>
  <si>
    <t>vullen zakken</t>
  </si>
  <si>
    <t>vullen big bags</t>
  </si>
  <si>
    <t>Peil opzetten mbv zandzakken (aantal dammen/100m</t>
  </si>
  <si>
    <t>standaard lengte</t>
  </si>
  <si>
    <t>Opkisten wellen (aantal wellen/ 100 m1)</t>
  </si>
  <si>
    <t>Containers met water</t>
  </si>
  <si>
    <t>aantal zakken</t>
  </si>
  <si>
    <t xml:space="preserve">zand   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</si>
</sst>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.00.00.000"/>
    <numFmt numFmtId="173" formatCode="[$-413]dddd\ d\ mmmm\ yyyy"/>
  </numFmts>
  <fonts count="48"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2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zoomScale="85" zoomScaleNormal="85" zoomScalePageLayoutView="0" workbookViewId="0" topLeftCell="A1">
      <selection activeCell="A12" sqref="A12:A16"/>
    </sheetView>
  </sheetViews>
  <sheetFormatPr defaultColWidth="9.00390625" defaultRowHeight="14.25"/>
  <cols>
    <col min="1" max="1" width="14.875" style="1" customWidth="1"/>
    <col min="2" max="2" width="38.125" style="1" customWidth="1"/>
    <col min="3" max="4" width="15.75390625" style="1" customWidth="1"/>
    <col min="5" max="5" width="21.375" style="1" bestFit="1" customWidth="1"/>
    <col min="6" max="6" width="14.00390625" style="1" customWidth="1"/>
    <col min="7" max="7" width="24.50390625" style="1" customWidth="1"/>
    <col min="8" max="8" width="9.00390625" style="1" customWidth="1"/>
    <col min="9" max="10" width="17.625" style="1" customWidth="1"/>
    <col min="11" max="16384" width="9.00390625" style="1" customWidth="1"/>
  </cols>
  <sheetData>
    <row r="2" spans="2:7" ht="45">
      <c r="B2" s="32" t="s">
        <v>53</v>
      </c>
      <c r="G2" s="32" t="s">
        <v>54</v>
      </c>
    </row>
    <row r="3" ht="12" thickBot="1"/>
    <row r="4" spans="3:10" s="23" customFormat="1" ht="34.5" thickBot="1">
      <c r="C4" s="25" t="s">
        <v>45</v>
      </c>
      <c r="D4" s="26" t="s">
        <v>46</v>
      </c>
      <c r="E4" s="26" t="s">
        <v>47</v>
      </c>
      <c r="F4" s="26" t="s">
        <v>48</v>
      </c>
      <c r="G4" s="27" t="s">
        <v>49</v>
      </c>
      <c r="H4" s="24"/>
      <c r="I4" s="28" t="s">
        <v>51</v>
      </c>
      <c r="J4" s="29" t="s">
        <v>52</v>
      </c>
    </row>
    <row r="5" ht="12" thickBot="1">
      <c r="A5" s="3" t="s">
        <v>38</v>
      </c>
    </row>
    <row r="6" spans="1:10" ht="11.25">
      <c r="A6" s="75" t="s">
        <v>0</v>
      </c>
      <c r="B6" s="6" t="s">
        <v>7</v>
      </c>
      <c r="C6" s="7"/>
      <c r="D6" s="7"/>
      <c r="E6" s="7"/>
      <c r="F6" s="7"/>
      <c r="G6" s="8"/>
      <c r="I6" s="19"/>
      <c r="J6" s="8"/>
    </row>
    <row r="7" spans="1:10" ht="11.25">
      <c r="A7" s="77"/>
      <c r="B7" s="4" t="s">
        <v>8</v>
      </c>
      <c r="C7" s="5"/>
      <c r="D7" s="5"/>
      <c r="E7" s="5"/>
      <c r="F7" s="5"/>
      <c r="G7" s="9"/>
      <c r="I7" s="20"/>
      <c r="J7" s="9"/>
    </row>
    <row r="8" spans="1:10" ht="11.25">
      <c r="A8" s="77"/>
      <c r="B8" s="4" t="s">
        <v>9</v>
      </c>
      <c r="C8" s="5"/>
      <c r="D8" s="5"/>
      <c r="E8" s="5"/>
      <c r="F8" s="5"/>
      <c r="G8" s="9"/>
      <c r="I8" s="20"/>
      <c r="J8" s="9"/>
    </row>
    <row r="9" spans="1:10" ht="11.25">
      <c r="A9" s="77"/>
      <c r="B9" s="4" t="s">
        <v>10</v>
      </c>
      <c r="C9" s="5"/>
      <c r="D9" s="5"/>
      <c r="E9" s="5"/>
      <c r="F9" s="5"/>
      <c r="G9" s="9"/>
      <c r="I9" s="20"/>
      <c r="J9" s="9"/>
    </row>
    <row r="10" spans="1:10" ht="11.25">
      <c r="A10" s="77"/>
      <c r="B10" s="4" t="s">
        <v>11</v>
      </c>
      <c r="C10" s="5"/>
      <c r="D10" s="5"/>
      <c r="E10" s="5"/>
      <c r="F10" s="5"/>
      <c r="G10" s="9"/>
      <c r="I10" s="20"/>
      <c r="J10" s="9"/>
    </row>
    <row r="11" spans="1:10" ht="12" thickBot="1">
      <c r="A11" s="78"/>
      <c r="B11" s="13" t="s">
        <v>12</v>
      </c>
      <c r="C11" s="14"/>
      <c r="D11" s="14"/>
      <c r="E11" s="14"/>
      <c r="F11" s="14"/>
      <c r="G11" s="15"/>
      <c r="I11" s="21"/>
      <c r="J11" s="12"/>
    </row>
    <row r="12" spans="1:10" ht="11.25">
      <c r="A12" s="75" t="s">
        <v>1</v>
      </c>
      <c r="B12" s="6" t="s">
        <v>13</v>
      </c>
      <c r="C12" s="7"/>
      <c r="D12" s="7"/>
      <c r="E12" s="7"/>
      <c r="F12" s="7"/>
      <c r="G12" s="8"/>
      <c r="I12" s="19"/>
      <c r="J12" s="8"/>
    </row>
    <row r="13" spans="1:10" ht="11.25">
      <c r="A13" s="77"/>
      <c r="B13" s="4" t="s">
        <v>14</v>
      </c>
      <c r="C13" s="5"/>
      <c r="D13" s="5"/>
      <c r="E13" s="5"/>
      <c r="F13" s="5"/>
      <c r="G13" s="9"/>
      <c r="I13" s="20"/>
      <c r="J13" s="9"/>
    </row>
    <row r="14" spans="1:10" ht="11.25">
      <c r="A14" s="77"/>
      <c r="B14" s="4" t="s">
        <v>15</v>
      </c>
      <c r="C14" s="5"/>
      <c r="D14" s="5"/>
      <c r="E14" s="5"/>
      <c r="F14" s="5"/>
      <c r="G14" s="9"/>
      <c r="I14" s="20"/>
      <c r="J14" s="9"/>
    </row>
    <row r="15" spans="1:10" ht="11.25">
      <c r="A15" s="77"/>
      <c r="B15" s="4" t="s">
        <v>16</v>
      </c>
      <c r="C15" s="5"/>
      <c r="D15" s="5"/>
      <c r="E15" s="5"/>
      <c r="F15" s="5"/>
      <c r="G15" s="9"/>
      <c r="I15" s="20"/>
      <c r="J15" s="9"/>
    </row>
    <row r="16" spans="1:10" ht="12" thickBot="1">
      <c r="A16" s="76"/>
      <c r="B16" s="10" t="s">
        <v>17</v>
      </c>
      <c r="C16" s="11"/>
      <c r="D16" s="11"/>
      <c r="E16" s="11"/>
      <c r="F16" s="11"/>
      <c r="G16" s="12"/>
      <c r="I16" s="21"/>
      <c r="J16" s="12"/>
    </row>
    <row r="17" spans="1:10" ht="11.25">
      <c r="A17" s="75" t="s">
        <v>2</v>
      </c>
      <c r="B17" s="6" t="s">
        <v>18</v>
      </c>
      <c r="C17" s="7"/>
      <c r="D17" s="7"/>
      <c r="E17" s="7"/>
      <c r="F17" s="7"/>
      <c r="G17" s="8"/>
      <c r="I17" s="19"/>
      <c r="J17" s="8"/>
    </row>
    <row r="18" spans="1:10" ht="11.25">
      <c r="A18" s="77"/>
      <c r="B18" s="4" t="s">
        <v>19</v>
      </c>
      <c r="C18" s="5"/>
      <c r="D18" s="5"/>
      <c r="E18" s="5"/>
      <c r="F18" s="5"/>
      <c r="G18" s="9"/>
      <c r="I18" s="20"/>
      <c r="J18" s="9"/>
    </row>
    <row r="19" spans="1:10" ht="11.25">
      <c r="A19" s="77"/>
      <c r="B19" s="4" t="s">
        <v>20</v>
      </c>
      <c r="C19" s="5"/>
      <c r="D19" s="5"/>
      <c r="E19" s="5"/>
      <c r="F19" s="5"/>
      <c r="G19" s="9"/>
      <c r="I19" s="20"/>
      <c r="J19" s="9"/>
    </row>
    <row r="20" spans="1:10" ht="11.25">
      <c r="A20" s="77"/>
      <c r="B20" s="4" t="s">
        <v>21</v>
      </c>
      <c r="C20" s="5"/>
      <c r="D20" s="5"/>
      <c r="E20" s="5"/>
      <c r="F20" s="5"/>
      <c r="G20" s="9"/>
      <c r="I20" s="20"/>
      <c r="J20" s="9"/>
    </row>
    <row r="21" spans="1:10" ht="12" thickBot="1">
      <c r="A21" s="76"/>
      <c r="B21" s="10" t="s">
        <v>22</v>
      </c>
      <c r="C21" s="11"/>
      <c r="D21" s="11"/>
      <c r="E21" s="11"/>
      <c r="F21" s="11"/>
      <c r="G21" s="12"/>
      <c r="I21" s="21"/>
      <c r="J21" s="12"/>
    </row>
    <row r="22" spans="1:10" ht="11.25">
      <c r="A22" s="75" t="s">
        <v>3</v>
      </c>
      <c r="B22" s="6" t="s">
        <v>23</v>
      </c>
      <c r="C22" s="7"/>
      <c r="D22" s="7"/>
      <c r="E22" s="7"/>
      <c r="F22" s="7"/>
      <c r="G22" s="8"/>
      <c r="I22" s="19"/>
      <c r="J22" s="8"/>
    </row>
    <row r="23" spans="1:10" ht="11.25">
      <c r="A23" s="77"/>
      <c r="B23" s="4" t="s">
        <v>24</v>
      </c>
      <c r="C23" s="5"/>
      <c r="D23" s="5"/>
      <c r="E23" s="5"/>
      <c r="F23" s="5"/>
      <c r="G23" s="9"/>
      <c r="I23" s="20"/>
      <c r="J23" s="9"/>
    </row>
    <row r="24" spans="1:10" ht="11.25">
      <c r="A24" s="77"/>
      <c r="B24" s="4" t="s">
        <v>25</v>
      </c>
      <c r="C24" s="5"/>
      <c r="D24" s="5"/>
      <c r="E24" s="5"/>
      <c r="F24" s="5"/>
      <c r="G24" s="9"/>
      <c r="I24" s="20"/>
      <c r="J24" s="9"/>
    </row>
    <row r="25" spans="1:10" ht="12" thickBot="1">
      <c r="A25" s="76"/>
      <c r="B25" s="10" t="s">
        <v>26</v>
      </c>
      <c r="C25" s="11"/>
      <c r="D25" s="11"/>
      <c r="E25" s="11"/>
      <c r="F25" s="11"/>
      <c r="G25" s="12"/>
      <c r="I25" s="21"/>
      <c r="J25" s="12"/>
    </row>
    <row r="26" spans="1:10" ht="11.25">
      <c r="A26" s="75" t="s">
        <v>4</v>
      </c>
      <c r="B26" s="6" t="s">
        <v>27</v>
      </c>
      <c r="C26" s="7"/>
      <c r="D26" s="7"/>
      <c r="E26" s="7"/>
      <c r="F26" s="7"/>
      <c r="G26" s="8"/>
      <c r="I26" s="19"/>
      <c r="J26" s="8"/>
    </row>
    <row r="27" spans="1:10" ht="11.25">
      <c r="A27" s="77"/>
      <c r="B27" s="4" t="s">
        <v>28</v>
      </c>
      <c r="C27" s="5"/>
      <c r="D27" s="5"/>
      <c r="E27" s="5"/>
      <c r="F27" s="5"/>
      <c r="G27" s="9"/>
      <c r="I27" s="20"/>
      <c r="J27" s="9"/>
    </row>
    <row r="28" spans="1:10" ht="11.25">
      <c r="A28" s="77"/>
      <c r="B28" s="4" t="s">
        <v>29</v>
      </c>
      <c r="C28" s="5"/>
      <c r="D28" s="5"/>
      <c r="E28" s="5"/>
      <c r="F28" s="5"/>
      <c r="G28" s="9"/>
      <c r="I28" s="20"/>
      <c r="J28" s="9"/>
    </row>
    <row r="29" spans="1:10" ht="11.25">
      <c r="A29" s="77"/>
      <c r="B29" s="4" t="s">
        <v>30</v>
      </c>
      <c r="C29" s="5"/>
      <c r="D29" s="5"/>
      <c r="E29" s="5"/>
      <c r="F29" s="5"/>
      <c r="G29" s="9"/>
      <c r="I29" s="20"/>
      <c r="J29" s="9"/>
    </row>
    <row r="30" spans="1:10" ht="12" thickBot="1">
      <c r="A30" s="76"/>
      <c r="B30" s="10" t="s">
        <v>31</v>
      </c>
      <c r="C30" s="11"/>
      <c r="D30" s="11"/>
      <c r="E30" s="11"/>
      <c r="F30" s="11"/>
      <c r="G30" s="12"/>
      <c r="I30" s="21"/>
      <c r="J30" s="12"/>
    </row>
    <row r="31" spans="1:10" ht="11.25">
      <c r="A31" s="75" t="s">
        <v>5</v>
      </c>
      <c r="B31" s="6" t="s">
        <v>32</v>
      </c>
      <c r="C31" s="7"/>
      <c r="D31" s="7"/>
      <c r="E31" s="7"/>
      <c r="F31" s="7"/>
      <c r="G31" s="8"/>
      <c r="I31" s="19"/>
      <c r="J31" s="8"/>
    </row>
    <row r="32" spans="1:10" ht="11.25">
      <c r="A32" s="77"/>
      <c r="B32" s="4" t="s">
        <v>33</v>
      </c>
      <c r="C32" s="5"/>
      <c r="D32" s="5"/>
      <c r="E32" s="5"/>
      <c r="F32" s="5"/>
      <c r="G32" s="9"/>
      <c r="I32" s="20"/>
      <c r="J32" s="9"/>
    </row>
    <row r="33" spans="1:10" ht="11.25">
      <c r="A33" s="77"/>
      <c r="B33" s="4" t="s">
        <v>34</v>
      </c>
      <c r="C33" s="5"/>
      <c r="D33" s="5"/>
      <c r="E33" s="5"/>
      <c r="F33" s="5"/>
      <c r="G33" s="9"/>
      <c r="I33" s="20"/>
      <c r="J33" s="9"/>
    </row>
    <row r="34" spans="1:10" ht="12" thickBot="1">
      <c r="A34" s="76"/>
      <c r="B34" s="10" t="s">
        <v>35</v>
      </c>
      <c r="C34" s="11"/>
      <c r="D34" s="11"/>
      <c r="E34" s="11"/>
      <c r="F34" s="11"/>
      <c r="G34" s="12"/>
      <c r="I34" s="21"/>
      <c r="J34" s="12"/>
    </row>
    <row r="35" spans="1:10" ht="11.25">
      <c r="A35" s="75" t="s">
        <v>6</v>
      </c>
      <c r="B35" s="6" t="s">
        <v>36</v>
      </c>
      <c r="C35" s="7"/>
      <c r="D35" s="7"/>
      <c r="E35" s="7"/>
      <c r="F35" s="7"/>
      <c r="G35" s="8"/>
      <c r="I35" s="19"/>
      <c r="J35" s="8"/>
    </row>
    <row r="36" spans="1:10" ht="12" thickBot="1">
      <c r="A36" s="76"/>
      <c r="B36" s="10" t="s">
        <v>37</v>
      </c>
      <c r="C36" s="11"/>
      <c r="D36" s="11"/>
      <c r="E36" s="11"/>
      <c r="F36" s="11"/>
      <c r="G36" s="12"/>
      <c r="I36" s="21"/>
      <c r="J36" s="12"/>
    </row>
    <row r="40" ht="12" thickBot="1">
      <c r="A40" s="3" t="s">
        <v>39</v>
      </c>
    </row>
    <row r="41" spans="1:10" ht="12" thickBot="1">
      <c r="A41" s="18" t="s">
        <v>0</v>
      </c>
      <c r="B41" s="16" t="s">
        <v>40</v>
      </c>
      <c r="C41" s="16"/>
      <c r="D41" s="16"/>
      <c r="E41" s="16"/>
      <c r="F41" s="16"/>
      <c r="G41" s="17"/>
      <c r="I41" s="22"/>
      <c r="J41" s="17"/>
    </row>
    <row r="42" spans="1:10" ht="11.25">
      <c r="A42" s="75" t="s">
        <v>41</v>
      </c>
      <c r="B42" s="6" t="s">
        <v>18</v>
      </c>
      <c r="C42" s="7"/>
      <c r="D42" s="7"/>
      <c r="E42" s="7"/>
      <c r="F42" s="7"/>
      <c r="G42" s="8"/>
      <c r="I42" s="30"/>
      <c r="J42" s="31"/>
    </row>
    <row r="43" spans="1:10" ht="11.25">
      <c r="A43" s="77"/>
      <c r="B43" s="4" t="s">
        <v>19</v>
      </c>
      <c r="C43" s="5"/>
      <c r="D43" s="5"/>
      <c r="E43" s="5"/>
      <c r="F43" s="5"/>
      <c r="G43" s="9"/>
      <c r="I43" s="20"/>
      <c r="J43" s="9"/>
    </row>
    <row r="44" spans="1:10" ht="11.25">
      <c r="A44" s="77"/>
      <c r="B44" s="4" t="s">
        <v>20</v>
      </c>
      <c r="C44" s="5"/>
      <c r="D44" s="5"/>
      <c r="E44" s="5"/>
      <c r="F44" s="5"/>
      <c r="G44" s="9"/>
      <c r="I44" s="20"/>
      <c r="J44" s="9"/>
    </row>
    <row r="45" spans="1:10" ht="11.25">
      <c r="A45" s="77"/>
      <c r="B45" s="4" t="s">
        <v>21</v>
      </c>
      <c r="C45" s="5"/>
      <c r="D45" s="5"/>
      <c r="E45" s="5"/>
      <c r="F45" s="5"/>
      <c r="G45" s="9"/>
      <c r="I45" s="20"/>
      <c r="J45" s="9"/>
    </row>
    <row r="46" spans="1:10" ht="12" thickBot="1">
      <c r="A46" s="76"/>
      <c r="B46" s="10" t="s">
        <v>22</v>
      </c>
      <c r="C46" s="11"/>
      <c r="D46" s="11"/>
      <c r="E46" s="11"/>
      <c r="F46" s="11"/>
      <c r="G46" s="12"/>
      <c r="I46" s="21"/>
      <c r="J46" s="12"/>
    </row>
    <row r="47" spans="1:10" ht="11.25">
      <c r="A47" s="75" t="s">
        <v>42</v>
      </c>
      <c r="B47" s="6" t="s">
        <v>43</v>
      </c>
      <c r="C47" s="7"/>
      <c r="D47" s="7"/>
      <c r="E47" s="7"/>
      <c r="F47" s="7"/>
      <c r="G47" s="8"/>
      <c r="I47" s="19"/>
      <c r="J47" s="8"/>
    </row>
    <row r="48" spans="1:10" ht="12" thickBot="1">
      <c r="A48" s="76"/>
      <c r="B48" s="11" t="s">
        <v>50</v>
      </c>
      <c r="C48" s="11"/>
      <c r="D48" s="11"/>
      <c r="E48" s="11"/>
      <c r="F48" s="11"/>
      <c r="G48" s="12"/>
      <c r="I48" s="21"/>
      <c r="J48" s="12"/>
    </row>
    <row r="49" spans="1:10" ht="11.25">
      <c r="A49" s="75" t="s">
        <v>1</v>
      </c>
      <c r="B49" s="6" t="s">
        <v>43</v>
      </c>
      <c r="C49" s="7"/>
      <c r="D49" s="7"/>
      <c r="E49" s="7"/>
      <c r="F49" s="7"/>
      <c r="G49" s="8"/>
      <c r="I49" s="19"/>
      <c r="J49" s="8"/>
    </row>
    <row r="50" spans="1:10" ht="12" thickBot="1">
      <c r="A50" s="76"/>
      <c r="B50" s="11" t="s">
        <v>44</v>
      </c>
      <c r="C50" s="11"/>
      <c r="D50" s="11"/>
      <c r="E50" s="11"/>
      <c r="F50" s="11"/>
      <c r="G50" s="12"/>
      <c r="I50" s="21"/>
      <c r="J50" s="12"/>
    </row>
    <row r="51" ht="11.25">
      <c r="A51" s="2"/>
    </row>
    <row r="56" ht="11.25">
      <c r="A56" s="2"/>
    </row>
    <row r="60" ht="11.25">
      <c r="A60" s="2"/>
    </row>
    <row r="65" ht="11.25">
      <c r="A65" s="2"/>
    </row>
    <row r="69" ht="11.25">
      <c r="A69" s="2"/>
    </row>
  </sheetData>
  <sheetProtection/>
  <mergeCells count="10">
    <mergeCell ref="A47:A48"/>
    <mergeCell ref="A49:A50"/>
    <mergeCell ref="A26:A30"/>
    <mergeCell ref="A31:A34"/>
    <mergeCell ref="A6:A11"/>
    <mergeCell ref="A12:A16"/>
    <mergeCell ref="A17:A21"/>
    <mergeCell ref="A22:A25"/>
    <mergeCell ref="A35:A36"/>
    <mergeCell ref="A42:A46"/>
  </mergeCells>
  <printOptions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30"/>
  <sheetViews>
    <sheetView zoomScalePageLayoutView="0" workbookViewId="0" topLeftCell="A1">
      <selection activeCell="F31" sqref="F31"/>
    </sheetView>
  </sheetViews>
  <sheetFormatPr defaultColWidth="9.00390625" defaultRowHeight="14.25"/>
  <cols>
    <col min="1" max="1" width="40.75390625" style="0" customWidth="1"/>
    <col min="2" max="2" width="5.875" style="0" bestFit="1" customWidth="1"/>
    <col min="3" max="3" width="4.875" style="0" bestFit="1" customWidth="1"/>
    <col min="4" max="4" width="11.375" style="0" bestFit="1" customWidth="1"/>
    <col min="6" max="6" width="16.25390625" style="0" bestFit="1" customWidth="1"/>
    <col min="8" max="8" width="18.875" style="0" bestFit="1" customWidth="1"/>
  </cols>
  <sheetData>
    <row r="4" spans="1:8" ht="14.25">
      <c r="A4" t="s">
        <v>72</v>
      </c>
      <c r="B4">
        <f>'Voorblad-Overzicht'!$C$14</f>
        <v>3</v>
      </c>
      <c r="C4" t="s">
        <v>75</v>
      </c>
      <c r="D4" t="s">
        <v>60</v>
      </c>
      <c r="F4" s="36" t="s">
        <v>74</v>
      </c>
      <c r="H4" t="s">
        <v>76</v>
      </c>
    </row>
    <row r="5" spans="1:6" ht="14.25">
      <c r="A5" t="s">
        <v>153</v>
      </c>
      <c r="F5" s="36"/>
    </row>
    <row r="6" spans="1:6" ht="14.25">
      <c r="A6" t="s">
        <v>154</v>
      </c>
      <c r="B6">
        <v>90</v>
      </c>
      <c r="F6" s="36"/>
    </row>
    <row r="7" spans="1:6" ht="14.25">
      <c r="A7" t="s">
        <v>155</v>
      </c>
      <c r="B7">
        <f>'Voorblad-Overzicht'!$C$14</f>
        <v>3</v>
      </c>
      <c r="F7" s="36"/>
    </row>
    <row r="8" spans="1:8" ht="14.25">
      <c r="A8" t="s">
        <v>59</v>
      </c>
      <c r="C8">
        <f>eenheidsprijzen!$B$7</f>
        <v>1.55</v>
      </c>
      <c r="D8">
        <f>+B6*B7</f>
        <v>270</v>
      </c>
      <c r="F8" s="36"/>
      <c r="H8">
        <f>+C8*D8</f>
        <v>418.5</v>
      </c>
    </row>
    <row r="9" ht="14.25">
      <c r="F9" s="36"/>
    </row>
    <row r="10" spans="1:8" ht="15">
      <c r="A10" s="34" t="s">
        <v>61</v>
      </c>
      <c r="C10">
        <f>eenheidsprijzen!$B$9</f>
        <v>10</v>
      </c>
      <c r="D10">
        <f>+D8*B11</f>
        <v>4.859999999999999</v>
      </c>
      <c r="F10" s="36"/>
      <c r="H10">
        <f>+D10*C10</f>
        <v>48.599999999999994</v>
      </c>
    </row>
    <row r="11" spans="1:6" ht="14.25">
      <c r="A11" t="s">
        <v>58</v>
      </c>
      <c r="B11">
        <v>0.018</v>
      </c>
      <c r="F11" s="36"/>
    </row>
    <row r="12" ht="14.25">
      <c r="F12" s="36"/>
    </row>
    <row r="13" spans="1:6" ht="15">
      <c r="A13" s="34" t="s">
        <v>73</v>
      </c>
      <c r="B13">
        <f>+(3600/B15)*B14</f>
        <v>216</v>
      </c>
      <c r="F13" s="36">
        <f>+D8/B13</f>
        <v>1.25</v>
      </c>
    </row>
    <row r="14" spans="1:6" ht="14.25">
      <c r="A14" t="s">
        <v>69</v>
      </c>
      <c r="B14">
        <v>3</v>
      </c>
      <c r="F14" s="36"/>
    </row>
    <row r="15" spans="1:6" ht="14.25">
      <c r="A15" t="s">
        <v>70</v>
      </c>
      <c r="B15">
        <v>50</v>
      </c>
      <c r="F15" s="36"/>
    </row>
    <row r="16" ht="14.25">
      <c r="F16" s="36"/>
    </row>
    <row r="17" spans="1:6" ht="15">
      <c r="A17" s="34" t="s">
        <v>68</v>
      </c>
      <c r="F17" s="36"/>
    </row>
    <row r="18" spans="1:8" ht="14.25">
      <c r="A18" t="s">
        <v>71</v>
      </c>
      <c r="B18">
        <v>1</v>
      </c>
      <c r="C18">
        <f>eenheidsprijzen!$B$15</f>
        <v>70</v>
      </c>
      <c r="D18">
        <f>+B18</f>
        <v>1</v>
      </c>
      <c r="F18" s="36">
        <f>+F13</f>
        <v>1.25</v>
      </c>
      <c r="H18">
        <f>+C18*D18*F18</f>
        <v>87.5</v>
      </c>
    </row>
    <row r="19" spans="1:8" ht="14.25">
      <c r="A19" t="s">
        <v>78</v>
      </c>
      <c r="B19">
        <f>+B14</f>
        <v>3</v>
      </c>
      <c r="C19">
        <f>eenheidsprijzen!$B$4</f>
        <v>35</v>
      </c>
      <c r="D19">
        <f>+B19</f>
        <v>3</v>
      </c>
      <c r="F19" s="36">
        <f>+F13</f>
        <v>1.25</v>
      </c>
      <c r="H19">
        <f>+C19*D19*F19</f>
        <v>131.25</v>
      </c>
    </row>
    <row r="20" spans="1:8" ht="14.25">
      <c r="A20" t="s">
        <v>156</v>
      </c>
      <c r="B20">
        <v>10</v>
      </c>
      <c r="C20">
        <f>eenheidsprijzen!$B$5</f>
        <v>0.4</v>
      </c>
      <c r="D20">
        <f>+B20*C20*B7</f>
        <v>12</v>
      </c>
      <c r="F20" s="36"/>
      <c r="H20">
        <f>+C20*D20</f>
        <v>4.800000000000001</v>
      </c>
    </row>
    <row r="21" ht="14.25">
      <c r="F21" s="36"/>
    </row>
    <row r="22" spans="1:6" ht="15">
      <c r="A22" s="34" t="s">
        <v>64</v>
      </c>
      <c r="F22" s="36"/>
    </row>
    <row r="23" spans="1:8" ht="14.25">
      <c r="A23" t="s">
        <v>62</v>
      </c>
      <c r="C23">
        <v>0</v>
      </c>
      <c r="F23" s="36">
        <f>+B13/1000</f>
        <v>0.216</v>
      </c>
      <c r="H23">
        <v>0</v>
      </c>
    </row>
    <row r="24" spans="1:8" ht="14.25">
      <c r="A24" t="s">
        <v>65</v>
      </c>
      <c r="B24">
        <v>15</v>
      </c>
      <c r="C24">
        <f>eenheidsprijzen!$B$4</f>
        <v>35</v>
      </c>
      <c r="F24" s="36">
        <f>$F$23</f>
        <v>0.216</v>
      </c>
      <c r="H24">
        <f>+B24*C24*F24</f>
        <v>113.4</v>
      </c>
    </row>
    <row r="25" spans="1:8" ht="14.25">
      <c r="A25" t="s">
        <v>63</v>
      </c>
      <c r="B25">
        <v>1</v>
      </c>
      <c r="C25">
        <f>eenheidsprijzen!$B$17</f>
        <v>60</v>
      </c>
      <c r="F25" s="36">
        <f>$F$23</f>
        <v>0.216</v>
      </c>
      <c r="H25">
        <f>+B25*C25*F25</f>
        <v>12.959999999999999</v>
      </c>
    </row>
    <row r="26" spans="1:8" ht="14.25">
      <c r="A26" t="s">
        <v>79</v>
      </c>
      <c r="C26">
        <f>eenheidsprijzen!$B$9</f>
        <v>10</v>
      </c>
      <c r="F26" s="36">
        <f>$F$23</f>
        <v>0.216</v>
      </c>
      <c r="H26">
        <v>0</v>
      </c>
    </row>
    <row r="27" spans="1:8" ht="14.25">
      <c r="A27" t="s">
        <v>67</v>
      </c>
      <c r="B27">
        <v>1</v>
      </c>
      <c r="C27">
        <f>eenheidsprijzen!$B$3</f>
        <v>75</v>
      </c>
      <c r="F27" s="36">
        <f>$F$23</f>
        <v>0.216</v>
      </c>
      <c r="H27">
        <f>+B27*C27*F27</f>
        <v>16.2</v>
      </c>
    </row>
    <row r="28" spans="1:8" ht="14.25">
      <c r="A28" t="s">
        <v>80</v>
      </c>
      <c r="C28">
        <f>eenheidsprijzen!$B$7</f>
        <v>1.55</v>
      </c>
      <c r="F28" s="36">
        <f>$F$23</f>
        <v>0.216</v>
      </c>
      <c r="H28">
        <v>0</v>
      </c>
    </row>
    <row r="29" spans="1:6" ht="14.25">
      <c r="A29" t="s">
        <v>66</v>
      </c>
      <c r="F29" s="36"/>
    </row>
    <row r="30" spans="5:8" s="34" customFormat="1" ht="15">
      <c r="E30" s="34" t="s">
        <v>180</v>
      </c>
      <c r="F30" s="38">
        <f>+F13</f>
        <v>1.25</v>
      </c>
      <c r="G30" s="38" t="s">
        <v>81</v>
      </c>
      <c r="H30" s="34">
        <f>SUM(H7:H29)</f>
        <v>833.21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23" sqref="A23"/>
    </sheetView>
  </sheetViews>
  <sheetFormatPr defaultColWidth="9.00390625" defaultRowHeight="14.25"/>
  <cols>
    <col min="1" max="1" width="31.50390625" style="0" customWidth="1"/>
    <col min="2" max="2" width="4.875" style="0" bestFit="1" customWidth="1"/>
    <col min="3" max="3" width="3.875" style="0" bestFit="1" customWidth="1"/>
    <col min="4" max="4" width="4.875" style="0" bestFit="1" customWidth="1"/>
    <col min="5" max="5" width="11.375" style="0" bestFit="1" customWidth="1"/>
    <col min="7" max="7" width="16.25390625" style="0" bestFit="1" customWidth="1"/>
    <col min="8" max="8" width="5.25390625" style="0" bestFit="1" customWidth="1"/>
    <col min="9" max="9" width="18.875" style="0" bestFit="1" customWidth="1"/>
  </cols>
  <sheetData>
    <row r="1" ht="14.25">
      <c r="I1" s="36"/>
    </row>
    <row r="2" ht="14.25">
      <c r="I2" s="36"/>
    </row>
    <row r="3" spans="1:9" ht="14.25">
      <c r="A3" t="s">
        <v>72</v>
      </c>
      <c r="D3" t="s">
        <v>75</v>
      </c>
      <c r="E3" t="s">
        <v>60</v>
      </c>
      <c r="G3" s="36" t="s">
        <v>74</v>
      </c>
      <c r="I3" s="36" t="s">
        <v>76</v>
      </c>
    </row>
    <row r="4" spans="1:9" ht="14.25">
      <c r="A4" t="s">
        <v>248</v>
      </c>
      <c r="C4">
        <f>'Voorblad-Overzicht'!$C$15</f>
        <v>150</v>
      </c>
      <c r="I4" s="36"/>
    </row>
    <row r="5" spans="1:9" s="34" customFormat="1" ht="15">
      <c r="A5" s="34" t="s">
        <v>118</v>
      </c>
      <c r="B5" s="34">
        <v>5</v>
      </c>
      <c r="I5" s="38"/>
    </row>
    <row r="6" spans="1:9" ht="14.25">
      <c r="A6" t="s">
        <v>119</v>
      </c>
      <c r="B6">
        <v>1</v>
      </c>
      <c r="I6" s="36"/>
    </row>
    <row r="7" spans="1:9" ht="14.25">
      <c r="A7" t="s">
        <v>143</v>
      </c>
      <c r="B7">
        <f>+B5*B6</f>
        <v>5</v>
      </c>
      <c r="D7">
        <f>eenheidsprijzen!$B$9</f>
        <v>10</v>
      </c>
      <c r="E7">
        <f>+C4*B5*B6</f>
        <v>750</v>
      </c>
      <c r="I7" s="36">
        <f>+D7*E7</f>
        <v>7500</v>
      </c>
    </row>
    <row r="8" spans="1:9" s="34" customFormat="1" ht="15">
      <c r="A8" s="34" t="s">
        <v>123</v>
      </c>
      <c r="I8" s="38"/>
    </row>
    <row r="9" spans="1:9" ht="14.25">
      <c r="A9" t="s">
        <v>121</v>
      </c>
      <c r="B9">
        <v>1250</v>
      </c>
      <c r="G9">
        <f>+(E7/B9)*8</f>
        <v>4.8</v>
      </c>
      <c r="I9" s="36"/>
    </row>
    <row r="10" spans="1:9" ht="14.25">
      <c r="A10" t="s">
        <v>120</v>
      </c>
      <c r="B10">
        <v>1</v>
      </c>
      <c r="D10">
        <f>eenheidsprijzen!$B$3</f>
        <v>75</v>
      </c>
      <c r="I10" s="36">
        <f>+(B10*G9*D10)</f>
        <v>360</v>
      </c>
    </row>
    <row r="11" spans="1:9" ht="14.25">
      <c r="A11" t="s">
        <v>122</v>
      </c>
      <c r="B11" s="53">
        <f>+(B9/15)*(50/60)/8</f>
        <v>8.680555555555555</v>
      </c>
      <c r="D11">
        <f>eenheidsprijzen!$B$2</f>
        <v>75</v>
      </c>
      <c r="I11" s="36">
        <f>+(B11*G9*D11)</f>
        <v>3125</v>
      </c>
    </row>
    <row r="12" spans="1:9" ht="14.25">
      <c r="A12" t="s">
        <v>127</v>
      </c>
      <c r="B12">
        <v>1</v>
      </c>
      <c r="D12">
        <f>eenheidsprijzen!$B$5</f>
        <v>0.4</v>
      </c>
      <c r="E12">
        <f>+B12*B5*C3</f>
        <v>0</v>
      </c>
      <c r="I12" s="36">
        <f>+D12*E12</f>
        <v>0</v>
      </c>
    </row>
    <row r="13" spans="1:9" ht="14.25">
      <c r="A13" t="s">
        <v>128</v>
      </c>
      <c r="B13">
        <v>1</v>
      </c>
      <c r="D13">
        <f>eenheidsprijzen!$B$4</f>
        <v>35</v>
      </c>
      <c r="I13" s="36">
        <f>+G9*B13*D13</f>
        <v>168</v>
      </c>
    </row>
    <row r="14" spans="6:9" s="34" customFormat="1" ht="15">
      <c r="F14" s="34" t="s">
        <v>180</v>
      </c>
      <c r="G14" s="34">
        <f>+G9</f>
        <v>4.8</v>
      </c>
      <c r="I14" s="38">
        <f>SUM(I10:I13)</f>
        <v>3653</v>
      </c>
    </row>
    <row r="15" s="34" customFormat="1" ht="15">
      <c r="I15" s="38"/>
    </row>
    <row r="16" ht="14.25">
      <c r="I16" s="36"/>
    </row>
    <row r="17" spans="1:9" ht="14.25">
      <c r="A17" t="s">
        <v>248</v>
      </c>
      <c r="C17">
        <f>'Voorblad-Overzicht'!$C$16</f>
        <v>100</v>
      </c>
      <c r="I17" s="36"/>
    </row>
    <row r="18" spans="1:9" ht="14.25">
      <c r="A18" t="s">
        <v>118</v>
      </c>
      <c r="B18">
        <v>5</v>
      </c>
      <c r="I18" s="36"/>
    </row>
    <row r="19" spans="1:9" ht="14.25">
      <c r="A19" t="s">
        <v>119</v>
      </c>
      <c r="B19">
        <v>1</v>
      </c>
      <c r="I19" s="36"/>
    </row>
    <row r="20" spans="1:9" ht="14.25">
      <c r="A20" t="s">
        <v>143</v>
      </c>
      <c r="B20">
        <f>+B18*B19</f>
        <v>5</v>
      </c>
      <c r="D20">
        <f>eenheidsprijzen!$B$9</f>
        <v>10</v>
      </c>
      <c r="E20">
        <f>+C17*B18*B19</f>
        <v>500</v>
      </c>
      <c r="I20" s="36">
        <f>+D20*E20</f>
        <v>5000</v>
      </c>
    </row>
    <row r="21" spans="1:9" ht="15">
      <c r="A21" s="34" t="s">
        <v>157</v>
      </c>
      <c r="I21" s="36"/>
    </row>
    <row r="22" spans="1:9" ht="14.25">
      <c r="A22" t="s">
        <v>121</v>
      </c>
      <c r="B22">
        <v>800</v>
      </c>
      <c r="G22">
        <f>+(E20/B22)*8</f>
        <v>5</v>
      </c>
      <c r="I22" s="36"/>
    </row>
    <row r="23" spans="1:9" ht="14.25">
      <c r="A23" t="s">
        <v>126</v>
      </c>
      <c r="B23">
        <v>1</v>
      </c>
      <c r="D23">
        <f>eenheidsprijzen!$B$3</f>
        <v>75</v>
      </c>
      <c r="I23" s="36">
        <f>+(B23*G22*D23)</f>
        <v>375</v>
      </c>
    </row>
    <row r="24" spans="1:9" ht="14.25">
      <c r="A24" t="s">
        <v>122</v>
      </c>
      <c r="B24" s="53">
        <f>+(B22/15)*(50/60)/8</f>
        <v>5.555555555555556</v>
      </c>
      <c r="D24">
        <f>eenheidsprijzen!$B$2</f>
        <v>75</v>
      </c>
      <c r="I24" s="36">
        <f>+(B24*G22*D24)</f>
        <v>2083.3333333333335</v>
      </c>
    </row>
    <row r="25" spans="1:9" ht="14.25">
      <c r="A25" t="s">
        <v>124</v>
      </c>
      <c r="B25">
        <v>70</v>
      </c>
      <c r="D25">
        <f>eenheidsprijzen!$B$6</f>
        <v>5</v>
      </c>
      <c r="I25" s="36">
        <f>+B25*D25</f>
        <v>350</v>
      </c>
    </row>
    <row r="26" spans="1:9" ht="14.25">
      <c r="A26" t="s">
        <v>125</v>
      </c>
      <c r="B26">
        <v>1</v>
      </c>
      <c r="D26">
        <f>eenheidsprijzen!$B$3</f>
        <v>75</v>
      </c>
      <c r="I26" s="36">
        <f>+B26*D26*G22</f>
        <v>375</v>
      </c>
    </row>
    <row r="27" spans="1:9" ht="14.25">
      <c r="A27" t="s">
        <v>127</v>
      </c>
      <c r="B27">
        <v>1</v>
      </c>
      <c r="D27">
        <f>eenheidsprijzen!$B$5</f>
        <v>0.4</v>
      </c>
      <c r="E27">
        <f>+B27*B5*C3</f>
        <v>0</v>
      </c>
      <c r="I27" s="36">
        <f>+E27*D27</f>
        <v>0</v>
      </c>
    </row>
    <row r="28" spans="1:9" ht="14.25">
      <c r="A28" t="s">
        <v>128</v>
      </c>
      <c r="B28">
        <v>1</v>
      </c>
      <c r="D28">
        <f>eenheidsprijzen!$B$4</f>
        <v>35</v>
      </c>
      <c r="I28" s="36">
        <f>+D28*G22</f>
        <v>175</v>
      </c>
    </row>
    <row r="30" spans="6:9" s="34" customFormat="1" ht="15">
      <c r="F30" s="34" t="s">
        <v>180</v>
      </c>
      <c r="G30" s="34">
        <f>+G22</f>
        <v>5</v>
      </c>
      <c r="H30" s="34" t="s">
        <v>81</v>
      </c>
      <c r="I30" s="38">
        <f>SUM(I23:I29)</f>
        <v>3358.3333333333335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2" sqref="A22"/>
    </sheetView>
  </sheetViews>
  <sheetFormatPr defaultColWidth="10.25390625" defaultRowHeight="14.25"/>
  <cols>
    <col min="1" max="1" width="35.875" style="0" customWidth="1"/>
    <col min="2" max="2" width="14.00390625" style="0" bestFit="1" customWidth="1"/>
    <col min="3" max="3" width="4.875" style="0" bestFit="1" customWidth="1"/>
    <col min="4" max="4" width="11.375" style="0" bestFit="1" customWidth="1"/>
    <col min="5" max="5" width="10.25390625" style="0" customWidth="1"/>
    <col min="6" max="6" width="16.25390625" style="0" bestFit="1" customWidth="1"/>
    <col min="7" max="7" width="5.75390625" style="0" bestFit="1" customWidth="1"/>
    <col min="8" max="8" width="18.875" style="0" bestFit="1" customWidth="1"/>
  </cols>
  <sheetData>
    <row r="1" spans="1:6" ht="15">
      <c r="A1" s="34" t="s">
        <v>87</v>
      </c>
      <c r="F1" s="36"/>
    </row>
    <row r="2" ht="14.25">
      <c r="E2" s="36"/>
    </row>
    <row r="3" spans="2:6" ht="14.25">
      <c r="B3" t="s">
        <v>72</v>
      </c>
      <c r="F3" s="36"/>
    </row>
    <row r="4" spans="1:8" ht="14.25">
      <c r="A4" t="s">
        <v>72</v>
      </c>
      <c r="B4">
        <f>'Voorblad-Overzicht'!$C$17</f>
        <v>100</v>
      </c>
      <c r="C4" t="s">
        <v>75</v>
      </c>
      <c r="D4" t="s">
        <v>60</v>
      </c>
      <c r="F4" s="36" t="s">
        <v>74</v>
      </c>
      <c r="H4" t="s">
        <v>76</v>
      </c>
    </row>
    <row r="5" ht="14.25">
      <c r="F5" s="36"/>
    </row>
    <row r="6" spans="1:6" ht="14.25">
      <c r="A6" t="s">
        <v>159</v>
      </c>
      <c r="B6">
        <v>5</v>
      </c>
      <c r="F6" s="36"/>
    </row>
    <row r="7" spans="1:6" ht="14.25">
      <c r="A7" t="s">
        <v>158</v>
      </c>
      <c r="B7">
        <v>1</v>
      </c>
      <c r="F7" s="36"/>
    </row>
    <row r="8" spans="1:8" ht="14.25">
      <c r="A8" t="s">
        <v>59</v>
      </c>
      <c r="C8">
        <f>eenheidsprijzen!$B$8</f>
        <v>15</v>
      </c>
      <c r="D8">
        <f>+B6*B4/B7</f>
        <v>500</v>
      </c>
      <c r="F8" s="36"/>
      <c r="H8">
        <f>+D8*C8</f>
        <v>7500</v>
      </c>
    </row>
    <row r="9" ht="14.25">
      <c r="F9" s="36"/>
    </row>
    <row r="10" spans="1:8" ht="14.25">
      <c r="A10" t="s">
        <v>61</v>
      </c>
      <c r="C10">
        <f>eenheidsprijzen!$B$9</f>
        <v>10</v>
      </c>
      <c r="D10">
        <f>+D8*B11</f>
        <v>500</v>
      </c>
      <c r="F10" s="36"/>
      <c r="H10">
        <f>+D10*C10</f>
        <v>5000</v>
      </c>
    </row>
    <row r="11" spans="1:6" ht="14.25">
      <c r="A11" t="s">
        <v>58</v>
      </c>
      <c r="B11">
        <v>1</v>
      </c>
      <c r="F11" s="36"/>
    </row>
    <row r="12" ht="14.25">
      <c r="F12" s="36"/>
    </row>
    <row r="13" spans="1:6" ht="14.25">
      <c r="A13" t="s">
        <v>73</v>
      </c>
      <c r="B13">
        <f>+(3600/B14)</f>
        <v>60</v>
      </c>
      <c r="F13" s="36">
        <f>+D8/B13</f>
        <v>8.333333333333334</v>
      </c>
    </row>
    <row r="14" spans="1:6" ht="14.25">
      <c r="A14" t="s">
        <v>70</v>
      </c>
      <c r="B14">
        <v>60</v>
      </c>
      <c r="F14" s="36"/>
    </row>
    <row r="15" ht="14.25">
      <c r="F15" s="36"/>
    </row>
    <row r="16" ht="14.25">
      <c r="F16" s="36"/>
    </row>
    <row r="17" spans="1:6" ht="14.25">
      <c r="A17" t="s">
        <v>88</v>
      </c>
      <c r="F17" s="36"/>
    </row>
    <row r="18" spans="1:8" ht="14.25">
      <c r="A18" t="s">
        <v>67</v>
      </c>
      <c r="B18">
        <v>1</v>
      </c>
      <c r="C18">
        <f>eenheidsprijzen!$B$3</f>
        <v>75</v>
      </c>
      <c r="D18">
        <f>+B18</f>
        <v>1</v>
      </c>
      <c r="F18" s="36">
        <f>+F13</f>
        <v>8.333333333333334</v>
      </c>
      <c r="H18">
        <f>+B18*C18*F18</f>
        <v>625</v>
      </c>
    </row>
    <row r="19" spans="1:8" ht="14.25">
      <c r="A19" t="s">
        <v>89</v>
      </c>
      <c r="B19">
        <v>2</v>
      </c>
      <c r="C19">
        <f>eenheidsprijzen!$B$15</f>
        <v>70</v>
      </c>
      <c r="D19">
        <f>+B19</f>
        <v>2</v>
      </c>
      <c r="F19" s="36">
        <f>+F13</f>
        <v>8.333333333333334</v>
      </c>
      <c r="H19">
        <f>+B19*C19*F19</f>
        <v>1166.6666666666667</v>
      </c>
    </row>
    <row r="20" spans="1:8" ht="14.25">
      <c r="A20" t="s">
        <v>160</v>
      </c>
      <c r="B20">
        <v>3</v>
      </c>
      <c r="C20">
        <f>eenheidsprijzen!$B$4</f>
        <v>35</v>
      </c>
      <c r="D20">
        <f>+B20</f>
        <v>3</v>
      </c>
      <c r="F20" s="36">
        <f>+F13</f>
        <v>8.333333333333334</v>
      </c>
      <c r="H20">
        <f>+B20*C20*F20</f>
        <v>875.0000000000001</v>
      </c>
    </row>
    <row r="21" spans="1:9" ht="14.25">
      <c r="A21" t="s">
        <v>124</v>
      </c>
      <c r="B21">
        <v>70</v>
      </c>
      <c r="C21">
        <f>eenheidsprijzen!$B$6</f>
        <v>5</v>
      </c>
      <c r="H21">
        <f>+B21*C21</f>
        <v>350</v>
      </c>
      <c r="I21" s="36"/>
    </row>
    <row r="22" spans="1:9" ht="14.25">
      <c r="A22" t="s">
        <v>125</v>
      </c>
      <c r="B22">
        <v>1</v>
      </c>
      <c r="C22">
        <f>eenheidsprijzen!$B$3</f>
        <v>75</v>
      </c>
      <c r="F22" s="36">
        <v>2</v>
      </c>
      <c r="H22">
        <f>+B22*C22</f>
        <v>75</v>
      </c>
      <c r="I22" s="36"/>
    </row>
    <row r="23" ht="14.25">
      <c r="F23" s="36"/>
    </row>
    <row r="24" spans="1:6" ht="14.25">
      <c r="A24" t="s">
        <v>92</v>
      </c>
      <c r="F24" s="36"/>
    </row>
    <row r="25" spans="1:8" ht="14.25">
      <c r="A25" t="s">
        <v>91</v>
      </c>
      <c r="B25">
        <v>2</v>
      </c>
      <c r="C25">
        <f>eenheidsprijzen!$B$4</f>
        <v>35</v>
      </c>
      <c r="F25" s="36">
        <f>+D8/60</f>
        <v>8.333333333333334</v>
      </c>
      <c r="H25">
        <f>+F25*C25*B25</f>
        <v>583.3333333333334</v>
      </c>
    </row>
    <row r="26" spans="1:8" ht="14.25">
      <c r="A26" t="s">
        <v>79</v>
      </c>
      <c r="F26" s="36">
        <f>$F$25</f>
        <v>8.333333333333334</v>
      </c>
      <c r="H26">
        <f>+F26*C26*B26</f>
        <v>0</v>
      </c>
    </row>
    <row r="27" spans="1:8" ht="14.25">
      <c r="A27" t="s">
        <v>93</v>
      </c>
      <c r="B27">
        <v>1</v>
      </c>
      <c r="C27">
        <f>eenheidsprijzen!$B$3</f>
        <v>75</v>
      </c>
      <c r="F27" s="36">
        <f>$F$25</f>
        <v>8.333333333333334</v>
      </c>
      <c r="H27">
        <f>+F27*C27*B27</f>
        <v>625</v>
      </c>
    </row>
    <row r="28" spans="1:8" ht="14.25">
      <c r="A28" t="s">
        <v>94</v>
      </c>
      <c r="F28" s="36"/>
      <c r="H28">
        <f>+F28*C28*B28</f>
        <v>0</v>
      </c>
    </row>
    <row r="29" spans="5:8" s="34" customFormat="1" ht="15">
      <c r="E29" s="34" t="s">
        <v>180</v>
      </c>
      <c r="F29" s="38">
        <f>+F13+F22</f>
        <v>10.333333333333334</v>
      </c>
      <c r="G29" s="34" t="s">
        <v>81</v>
      </c>
      <c r="H29" s="34">
        <f>SUM(H7:H28)</f>
        <v>16800</v>
      </c>
    </row>
    <row r="32" ht="15">
      <c r="A32" s="34" t="s">
        <v>169</v>
      </c>
    </row>
    <row r="34" spans="2:6" ht="14.25">
      <c r="B34" t="s">
        <v>72</v>
      </c>
      <c r="F34" s="36"/>
    </row>
    <row r="35" spans="1:8" ht="14.25">
      <c r="A35" t="s">
        <v>72</v>
      </c>
      <c r="B35">
        <f>'Voorblad-Overzicht'!$C$18</f>
        <v>100</v>
      </c>
      <c r="C35" t="s">
        <v>75</v>
      </c>
      <c r="D35" t="s">
        <v>60</v>
      </c>
      <c r="F35" s="36" t="s">
        <v>74</v>
      </c>
      <c r="H35" t="s">
        <v>76</v>
      </c>
    </row>
    <row r="36" ht="14.25">
      <c r="F36" s="36"/>
    </row>
    <row r="37" spans="1:6" ht="14.25">
      <c r="A37" t="s">
        <v>159</v>
      </c>
      <c r="B37">
        <v>5</v>
      </c>
      <c r="F37" s="36"/>
    </row>
    <row r="38" spans="1:6" ht="14.25">
      <c r="A38" t="s">
        <v>166</v>
      </c>
      <c r="B38">
        <f>1/6/2.5</f>
        <v>0.06666666666666667</v>
      </c>
      <c r="F38" s="36"/>
    </row>
    <row r="39" spans="1:8" ht="14.25">
      <c r="A39" t="s">
        <v>167</v>
      </c>
      <c r="B39" s="53">
        <f>+B35*B38*B37</f>
        <v>33.333333333333336</v>
      </c>
      <c r="C39">
        <f>eenheidsprijzen!$B$20</f>
        <v>25</v>
      </c>
      <c r="D39">
        <f>+B39</f>
        <v>33.333333333333336</v>
      </c>
      <c r="F39" s="36">
        <f>+D39/B43/B42</f>
        <v>2.777777777777778</v>
      </c>
      <c r="H39">
        <f>+D39*C39</f>
        <v>833.3333333333334</v>
      </c>
    </row>
    <row r="40" ht="14.25">
      <c r="F40" s="36"/>
    </row>
    <row r="41" spans="1:6" ht="14.25">
      <c r="A41" t="s">
        <v>173</v>
      </c>
      <c r="B41">
        <v>300</v>
      </c>
      <c r="F41" s="36"/>
    </row>
    <row r="42" spans="1:8" ht="14.25">
      <c r="A42" t="s">
        <v>175</v>
      </c>
      <c r="B42">
        <v>10</v>
      </c>
      <c r="C42">
        <f>eenheidsprijzen!$B$2</f>
        <v>75</v>
      </c>
      <c r="F42" s="36"/>
      <c r="H42" s="36">
        <f>+F39*B42*C42</f>
        <v>2083.3333333333335</v>
      </c>
    </row>
    <row r="43" spans="1:6" ht="14.25">
      <c r="A43" t="s">
        <v>174</v>
      </c>
      <c r="B43">
        <f>3600/B41/10</f>
        <v>1.2</v>
      </c>
      <c r="F43" s="36"/>
    </row>
    <row r="44" spans="1:8" ht="14.25">
      <c r="A44" t="s">
        <v>120</v>
      </c>
      <c r="B44">
        <v>1</v>
      </c>
      <c r="C44">
        <f>eenheidsprijzen!$B$3</f>
        <v>75</v>
      </c>
      <c r="F44" s="36"/>
      <c r="H44">
        <f>+B44*C44*F39</f>
        <v>208.33333333333337</v>
      </c>
    </row>
    <row r="45" ht="14.25">
      <c r="F45" s="36"/>
    </row>
    <row r="46" spans="1:8" ht="14.25">
      <c r="A46" t="s">
        <v>170</v>
      </c>
      <c r="B46">
        <v>300</v>
      </c>
      <c r="C46">
        <f>eenheidsprijzen!$B$13</f>
        <v>2.6</v>
      </c>
      <c r="F46" s="36"/>
      <c r="H46">
        <f>+B46*C46</f>
        <v>780</v>
      </c>
    </row>
    <row r="47" spans="1:8" ht="14.25">
      <c r="A47" t="s">
        <v>171</v>
      </c>
      <c r="B47">
        <v>2</v>
      </c>
      <c r="C47">
        <f>eenheidsprijzen!$B$4</f>
        <v>35</v>
      </c>
      <c r="F47" s="36"/>
      <c r="H47">
        <f>+B47*C47*F39</f>
        <v>194.44444444444446</v>
      </c>
    </row>
    <row r="48" ht="14.25">
      <c r="F48" s="36"/>
    </row>
    <row r="49" spans="1:6" ht="14.25">
      <c r="A49" t="s">
        <v>172</v>
      </c>
      <c r="F49" s="36"/>
    </row>
    <row r="50" spans="1:9" ht="14.25">
      <c r="A50" t="s">
        <v>124</v>
      </c>
      <c r="B50">
        <v>70</v>
      </c>
      <c r="C50">
        <f>eenheidsprijzen!$B$6</f>
        <v>5</v>
      </c>
      <c r="H50">
        <f>+B50*C50</f>
        <v>350</v>
      </c>
      <c r="I50" s="36"/>
    </row>
    <row r="51" spans="1:9" ht="14.25">
      <c r="A51" t="s">
        <v>125</v>
      </c>
      <c r="B51">
        <v>1</v>
      </c>
      <c r="C51">
        <f>eenheidsprijzen!$B$3</f>
        <v>75</v>
      </c>
      <c r="F51" s="36">
        <v>2</v>
      </c>
      <c r="H51">
        <f>+B51*C51*F51</f>
        <v>150</v>
      </c>
      <c r="I51" s="36"/>
    </row>
    <row r="52" ht="14.25">
      <c r="F52" s="36"/>
    </row>
    <row r="53" spans="1:6" ht="14.25">
      <c r="A53" t="s">
        <v>177</v>
      </c>
      <c r="F53" s="36"/>
    </row>
    <row r="54" spans="1:6" ht="14.25">
      <c r="A54" t="s">
        <v>178</v>
      </c>
      <c r="B54">
        <f>6*2.5*0.7</f>
        <v>10.5</v>
      </c>
      <c r="F54" s="36">
        <f>+B39*B54/55</f>
        <v>6.363636363636363</v>
      </c>
    </row>
    <row r="55" spans="1:8" ht="14.25">
      <c r="A55" t="s">
        <v>91</v>
      </c>
      <c r="B55">
        <v>1</v>
      </c>
      <c r="C55">
        <f>eenheidsprijzen!$B$4</f>
        <v>35</v>
      </c>
      <c r="F55" s="36">
        <f>$F$54</f>
        <v>6.363636363636363</v>
      </c>
      <c r="H55">
        <f>+F55*C55*B55</f>
        <v>222.72727272727272</v>
      </c>
    </row>
    <row r="56" spans="1:8" ht="14.25">
      <c r="A56" t="s">
        <v>179</v>
      </c>
      <c r="B56">
        <v>1</v>
      </c>
      <c r="C56">
        <f>+eenheidsprijzen!B15</f>
        <v>70</v>
      </c>
      <c r="F56" s="36">
        <f>$F$54</f>
        <v>6.363636363636363</v>
      </c>
      <c r="H56">
        <f>+F56*C56*B56</f>
        <v>445.45454545454544</v>
      </c>
    </row>
    <row r="57" spans="5:8" s="34" customFormat="1" ht="15">
      <c r="E57" s="34" t="s">
        <v>180</v>
      </c>
      <c r="F57" s="38">
        <f>+F54+F51</f>
        <v>8.363636363636363</v>
      </c>
      <c r="G57" s="34" t="s">
        <v>81</v>
      </c>
      <c r="H57" s="34">
        <f>SUM(H38:H56)</f>
        <v>5267.626262626263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33" sqref="J33"/>
    </sheetView>
  </sheetViews>
  <sheetFormatPr defaultColWidth="9.00390625" defaultRowHeight="14.25"/>
  <cols>
    <col min="1" max="1" width="39.375" style="0" customWidth="1"/>
    <col min="3" max="3" width="9.00390625" style="33" customWidth="1"/>
    <col min="8" max="8" width="9.00390625" style="36" customWidth="1"/>
  </cols>
  <sheetData>
    <row r="1" ht="14.25">
      <c r="A1" t="s">
        <v>209</v>
      </c>
    </row>
    <row r="3" spans="3:6" ht="30">
      <c r="C3" s="35" t="s">
        <v>72</v>
      </c>
      <c r="D3" s="34">
        <f>'Voorblad-Overzicht'!$C$19</f>
        <v>100</v>
      </c>
      <c r="F3" s="36"/>
    </row>
    <row r="4" spans="3:8" ht="14.25">
      <c r="C4" s="33" t="s">
        <v>75</v>
      </c>
      <c r="D4" t="s">
        <v>60</v>
      </c>
      <c r="F4" s="36" t="s">
        <v>74</v>
      </c>
      <c r="H4" s="36" t="s">
        <v>221</v>
      </c>
    </row>
    <row r="5" spans="1:6" ht="15">
      <c r="A5" s="34" t="s">
        <v>185</v>
      </c>
      <c r="F5" s="36"/>
    </row>
    <row r="6" spans="1:6" ht="14.25">
      <c r="A6" t="s">
        <v>186</v>
      </c>
      <c r="C6" s="33">
        <f>eenheidsprijzen!$B$5</f>
        <v>0.4</v>
      </c>
      <c r="F6" s="36"/>
    </row>
    <row r="7" spans="1:6" ht="14.25">
      <c r="A7" t="s">
        <v>182</v>
      </c>
      <c r="B7">
        <v>5</v>
      </c>
      <c r="F7" s="36"/>
    </row>
    <row r="8" spans="1:8" ht="14.25">
      <c r="A8" t="s">
        <v>184</v>
      </c>
      <c r="B8">
        <v>100</v>
      </c>
      <c r="D8">
        <f>+B7*D3/(B8/100)</f>
        <v>500</v>
      </c>
      <c r="F8" s="36"/>
      <c r="H8" s="36">
        <f>+D8*C6</f>
        <v>200</v>
      </c>
    </row>
    <row r="9" spans="1:6" ht="14.25">
      <c r="A9" t="s">
        <v>187</v>
      </c>
      <c r="B9">
        <v>3.5</v>
      </c>
      <c r="F9" s="36">
        <f>60/B9/60</f>
        <v>0.2857142857142857</v>
      </c>
    </row>
    <row r="10" ht="14.25">
      <c r="F10" s="36"/>
    </row>
    <row r="11" ht="14.25">
      <c r="F11" s="36"/>
    </row>
    <row r="12" spans="1:6" ht="15">
      <c r="A12" s="34" t="s">
        <v>197</v>
      </c>
      <c r="F12" s="36"/>
    </row>
    <row r="13" spans="1:8" ht="14.25">
      <c r="A13" t="s">
        <v>196</v>
      </c>
      <c r="B13">
        <v>0</v>
      </c>
      <c r="C13" s="33">
        <f>eenheidsprijzen!$B$15</f>
        <v>70</v>
      </c>
      <c r="D13">
        <v>2</v>
      </c>
      <c r="F13" s="36">
        <f>+F9</f>
        <v>0.2857142857142857</v>
      </c>
      <c r="H13" s="36">
        <f>+B13*C13*F13</f>
        <v>0</v>
      </c>
    </row>
    <row r="14" spans="1:8" ht="14.25">
      <c r="A14" t="s">
        <v>113</v>
      </c>
      <c r="B14">
        <v>2</v>
      </c>
      <c r="C14" s="33">
        <f>eenheidsprijzen!$B$4</f>
        <v>35</v>
      </c>
      <c r="D14">
        <v>5</v>
      </c>
      <c r="F14" s="36">
        <f>+F9</f>
        <v>0.2857142857142857</v>
      </c>
      <c r="H14" s="36">
        <f>+B14*C14*F14</f>
        <v>20</v>
      </c>
    </row>
    <row r="15" spans="1:8" ht="14.25">
      <c r="A15" t="s">
        <v>198</v>
      </c>
      <c r="B15">
        <v>2.5</v>
      </c>
      <c r="C15" s="33">
        <f>eenheidsprijzen!$B$19</f>
        <v>0.8</v>
      </c>
      <c r="D15">
        <f>+D3*B15</f>
        <v>250</v>
      </c>
      <c r="F15" s="36"/>
      <c r="H15" s="36">
        <f>+D15*C15</f>
        <v>200</v>
      </c>
    </row>
    <row r="16" spans="1:8" ht="14.25">
      <c r="A16" t="s">
        <v>199</v>
      </c>
      <c r="C16" s="33">
        <f>eenheidsprijzen!$B$14</f>
        <v>70</v>
      </c>
      <c r="F16" s="36">
        <f>+F9</f>
        <v>0.2857142857142857</v>
      </c>
      <c r="H16" s="36">
        <f>+F16*C16</f>
        <v>20</v>
      </c>
    </row>
    <row r="17" ht="14.25">
      <c r="F17" s="36"/>
    </row>
    <row r="18" spans="1:8" s="34" customFormat="1" ht="15">
      <c r="A18" s="34" t="s">
        <v>95</v>
      </c>
      <c r="C18" s="35"/>
      <c r="F18" s="38"/>
      <c r="H18" s="38"/>
    </row>
    <row r="19" spans="1:8" ht="14.25">
      <c r="A19" t="s">
        <v>55</v>
      </c>
      <c r="B19">
        <v>8</v>
      </c>
      <c r="C19" s="33">
        <f>eenheidsprijzen!$B$7</f>
        <v>1.55</v>
      </c>
      <c r="D19">
        <f>+D3*B19</f>
        <v>800</v>
      </c>
      <c r="F19" s="36"/>
      <c r="H19" s="36">
        <f>+D19*C19</f>
        <v>1240</v>
      </c>
    </row>
    <row r="20" spans="1:8" ht="14.25">
      <c r="A20" t="s">
        <v>61</v>
      </c>
      <c r="C20" s="33">
        <f>eenheidsprijzen!$B$9</f>
        <v>10</v>
      </c>
      <c r="D20">
        <f>+D19*B21</f>
        <v>14.399999999999999</v>
      </c>
      <c r="F20" s="36"/>
      <c r="H20" s="36">
        <f>+D20*C20</f>
        <v>144</v>
      </c>
    </row>
    <row r="21" spans="1:6" ht="14.25">
      <c r="A21" t="s">
        <v>58</v>
      </c>
      <c r="B21">
        <v>0.018</v>
      </c>
      <c r="F21" s="36"/>
    </row>
    <row r="22" spans="1:6" ht="14.25">
      <c r="A22" t="s">
        <v>73</v>
      </c>
      <c r="B22">
        <f>+(3600/B24)*B23</f>
        <v>864</v>
      </c>
      <c r="F22" s="36">
        <f>+D19/B22</f>
        <v>0.9259259259259259</v>
      </c>
    </row>
    <row r="23" spans="1:8" ht="14.25">
      <c r="A23" t="s">
        <v>69</v>
      </c>
      <c r="B23">
        <v>6</v>
      </c>
      <c r="C23" s="33">
        <f>eenheidsprijzen!$B$4</f>
        <v>35</v>
      </c>
      <c r="F23" s="36"/>
      <c r="H23" s="36">
        <f>+B23*C23*F22</f>
        <v>194.44444444444446</v>
      </c>
    </row>
    <row r="24" spans="1:6" ht="14.25">
      <c r="A24" t="s">
        <v>70</v>
      </c>
      <c r="B24">
        <v>25</v>
      </c>
      <c r="F24" s="36"/>
    </row>
    <row r="25" ht="14.25">
      <c r="F25" s="36"/>
    </row>
    <row r="26" spans="1:6" ht="15">
      <c r="A26" s="34" t="s">
        <v>68</v>
      </c>
      <c r="F26" s="36"/>
    </row>
    <row r="27" spans="1:8" ht="14.25">
      <c r="A27" t="s">
        <v>67</v>
      </c>
      <c r="B27">
        <v>1</v>
      </c>
      <c r="C27" s="33">
        <f>eenheidsprijzen!$B$3</f>
        <v>75</v>
      </c>
      <c r="D27">
        <v>1</v>
      </c>
      <c r="F27" s="36">
        <f>+F22</f>
        <v>0.9259259259259259</v>
      </c>
      <c r="H27" s="36">
        <f>+B27*C27*F27</f>
        <v>69.44444444444444</v>
      </c>
    </row>
    <row r="28" spans="1:8" ht="14.25">
      <c r="A28" t="s">
        <v>71</v>
      </c>
      <c r="B28">
        <v>2</v>
      </c>
      <c r="C28" s="33">
        <f>eenheidsprijzen!$B$15</f>
        <v>70</v>
      </c>
      <c r="D28">
        <v>2</v>
      </c>
      <c r="F28" s="36">
        <f>+F22</f>
        <v>0.9259259259259259</v>
      </c>
      <c r="H28" s="36">
        <f>+B28*C28*F28</f>
        <v>129.62962962962962</v>
      </c>
    </row>
    <row r="29" ht="14.25">
      <c r="F29" s="36"/>
    </row>
    <row r="30" spans="1:6" ht="15">
      <c r="A30" s="34" t="s">
        <v>64</v>
      </c>
      <c r="F30" s="36"/>
    </row>
    <row r="31" spans="1:8" ht="14.25">
      <c r="A31" t="s">
        <v>62</v>
      </c>
      <c r="C31" s="33">
        <v>0</v>
      </c>
      <c r="F31" s="36">
        <f aca="true" t="shared" si="0" ref="F31:F36">$F$22</f>
        <v>0.9259259259259259</v>
      </c>
      <c r="H31" s="36">
        <f aca="true" t="shared" si="1" ref="H31:H36">+F31*C31*B31</f>
        <v>0</v>
      </c>
    </row>
    <row r="32" spans="1:8" ht="14.25">
      <c r="A32" t="s">
        <v>65</v>
      </c>
      <c r="B32">
        <v>15</v>
      </c>
      <c r="C32" s="33">
        <f>eenheidsprijzen!$B$4</f>
        <v>35</v>
      </c>
      <c r="F32" s="36">
        <f t="shared" si="0"/>
        <v>0.9259259259259259</v>
      </c>
      <c r="H32" s="36">
        <f t="shared" si="1"/>
        <v>486.1111111111111</v>
      </c>
    </row>
    <row r="33" spans="1:8" ht="14.25">
      <c r="A33" t="s">
        <v>63</v>
      </c>
      <c r="B33">
        <v>1</v>
      </c>
      <c r="C33" s="33">
        <f>eenheidsprijzen!$B$17</f>
        <v>60</v>
      </c>
      <c r="F33" s="36">
        <f t="shared" si="0"/>
        <v>0.9259259259259259</v>
      </c>
      <c r="H33" s="36">
        <f t="shared" si="1"/>
        <v>55.55555555555556</v>
      </c>
    </row>
    <row r="34" spans="1:8" ht="14.25">
      <c r="A34" t="s">
        <v>79</v>
      </c>
      <c r="C34" s="33">
        <f>eenheidsprijzen!$B$9</f>
        <v>10</v>
      </c>
      <c r="F34" s="36">
        <f t="shared" si="0"/>
        <v>0.9259259259259259</v>
      </c>
      <c r="H34" s="36">
        <f t="shared" si="1"/>
        <v>0</v>
      </c>
    </row>
    <row r="35" spans="1:8" ht="14.25">
      <c r="A35" t="s">
        <v>67</v>
      </c>
      <c r="B35">
        <v>1</v>
      </c>
      <c r="C35" s="33">
        <f>eenheidsprijzen!$B$3</f>
        <v>75</v>
      </c>
      <c r="F35" s="36">
        <f t="shared" si="0"/>
        <v>0.9259259259259259</v>
      </c>
      <c r="H35" s="36">
        <f t="shared" si="1"/>
        <v>69.44444444444444</v>
      </c>
    </row>
    <row r="36" spans="1:8" ht="14.25">
      <c r="A36" t="s">
        <v>80</v>
      </c>
      <c r="C36" s="33">
        <f>eenheidsprijzen!$B$7</f>
        <v>1.55</v>
      </c>
      <c r="F36" s="36">
        <f t="shared" si="0"/>
        <v>0.9259259259259259</v>
      </c>
      <c r="H36" s="36">
        <f t="shared" si="1"/>
        <v>0</v>
      </c>
    </row>
    <row r="37" spans="3:8" s="34" customFormat="1" ht="15">
      <c r="C37" s="35"/>
      <c r="E37" s="34" t="s">
        <v>180</v>
      </c>
      <c r="F37" s="38">
        <f>+F9+F22</f>
        <v>1.2116402116402116</v>
      </c>
      <c r="G37" s="34" t="s">
        <v>97</v>
      </c>
      <c r="H37" s="38">
        <f>SUM(H6:H36)</f>
        <v>2828.6296296296296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D19" sqref="D19"/>
    </sheetView>
  </sheetViews>
  <sheetFormatPr defaultColWidth="9.00390625" defaultRowHeight="14.25"/>
  <cols>
    <col min="1" max="1" width="39.25390625" style="0" customWidth="1"/>
    <col min="3" max="3" width="9.00390625" style="33" customWidth="1"/>
    <col min="6" max="6" width="9.375" style="0" bestFit="1" customWidth="1"/>
  </cols>
  <sheetData>
    <row r="1" spans="1:8" ht="15">
      <c r="A1" s="34" t="s">
        <v>212</v>
      </c>
      <c r="H1" s="36"/>
    </row>
    <row r="2" ht="14.25">
      <c r="H2" s="36"/>
    </row>
    <row r="3" spans="3:8" ht="30">
      <c r="C3" s="35" t="s">
        <v>72</v>
      </c>
      <c r="D3" s="34">
        <f>'Voorblad-Overzicht'!$C$20</f>
        <v>100</v>
      </c>
      <c r="F3" s="36"/>
      <c r="H3" s="36"/>
    </row>
    <row r="4" spans="3:8" ht="14.25">
      <c r="C4" s="33" t="s">
        <v>75</v>
      </c>
      <c r="D4" t="s">
        <v>60</v>
      </c>
      <c r="F4" s="52" t="s">
        <v>74</v>
      </c>
      <c r="H4" s="36" t="s">
        <v>221</v>
      </c>
    </row>
    <row r="5" spans="1:8" ht="14.25">
      <c r="A5" t="s">
        <v>185</v>
      </c>
      <c r="F5" s="36"/>
      <c r="H5" s="36"/>
    </row>
    <row r="6" spans="1:8" ht="14.25">
      <c r="A6" t="s">
        <v>186</v>
      </c>
      <c r="C6" s="33">
        <f>eenheidsprijzen!$B$5</f>
        <v>0.4</v>
      </c>
      <c r="F6" s="36"/>
      <c r="H6" s="36"/>
    </row>
    <row r="7" spans="1:8" ht="14.25">
      <c r="A7" t="s">
        <v>182</v>
      </c>
      <c r="B7">
        <v>5</v>
      </c>
      <c r="F7" s="36"/>
      <c r="H7" s="36"/>
    </row>
    <row r="8" spans="1:8" ht="14.25">
      <c r="A8" t="s">
        <v>184</v>
      </c>
      <c r="B8">
        <v>100</v>
      </c>
      <c r="D8">
        <f>+B7*D3/(B8/100)</f>
        <v>500</v>
      </c>
      <c r="F8" s="36"/>
      <c r="H8" s="36">
        <f>+D8*C6</f>
        <v>200</v>
      </c>
    </row>
    <row r="9" spans="1:8" ht="14.25">
      <c r="A9" t="s">
        <v>214</v>
      </c>
      <c r="B9">
        <v>1</v>
      </c>
      <c r="F9" s="36">
        <f>++D3*(B8/100)*B9/60</f>
        <v>1.6666666666666667</v>
      </c>
      <c r="H9" s="36"/>
    </row>
    <row r="10" spans="6:8" ht="14.25">
      <c r="F10" s="36"/>
      <c r="H10" s="36"/>
    </row>
    <row r="11" spans="6:8" ht="14.25">
      <c r="F11" s="36"/>
      <c r="H11" s="36"/>
    </row>
    <row r="12" spans="1:8" ht="15">
      <c r="A12" s="34" t="s">
        <v>197</v>
      </c>
      <c r="F12" s="36"/>
      <c r="H12" s="36"/>
    </row>
    <row r="13" spans="1:8" ht="14.25">
      <c r="A13" t="s">
        <v>196</v>
      </c>
      <c r="B13">
        <v>0</v>
      </c>
      <c r="C13" s="33">
        <f>eenheidsprijzen!$B$15</f>
        <v>70</v>
      </c>
      <c r="D13">
        <v>2</v>
      </c>
      <c r="F13" s="36">
        <f>+F9</f>
        <v>1.6666666666666667</v>
      </c>
      <c r="H13" s="36">
        <f>+B13*C13*F13</f>
        <v>0</v>
      </c>
    </row>
    <row r="14" spans="1:8" ht="14.25">
      <c r="A14" t="s">
        <v>216</v>
      </c>
      <c r="B14">
        <v>2</v>
      </c>
      <c r="C14" s="33">
        <f>eenheidsprijzen!$B$4</f>
        <v>35</v>
      </c>
      <c r="D14">
        <v>5</v>
      </c>
      <c r="F14" s="36">
        <f>+F9</f>
        <v>1.6666666666666667</v>
      </c>
      <c r="H14" s="36">
        <f>+B14*C14*F14</f>
        <v>116.66666666666667</v>
      </c>
    </row>
    <row r="15" spans="1:8" ht="14.25">
      <c r="A15" t="s">
        <v>199</v>
      </c>
      <c r="B15">
        <v>1</v>
      </c>
      <c r="C15" s="33">
        <f>eenheidsprijzen!$B$14</f>
        <v>70</v>
      </c>
      <c r="D15">
        <v>1</v>
      </c>
      <c r="F15" s="36">
        <f>+F9</f>
        <v>1.6666666666666667</v>
      </c>
      <c r="H15" s="36">
        <f>+F15*C15</f>
        <v>116.66666666666667</v>
      </c>
    </row>
    <row r="16" spans="6:8" ht="14.25">
      <c r="F16" s="36"/>
      <c r="H16" s="36"/>
    </row>
    <row r="17" spans="1:8" ht="15">
      <c r="A17" s="63" t="s">
        <v>215</v>
      </c>
      <c r="F17" s="36"/>
      <c r="H17" s="36"/>
    </row>
    <row r="18" spans="1:8" ht="14.25">
      <c r="A18" s="64" t="s">
        <v>222</v>
      </c>
      <c r="B18">
        <v>4</v>
      </c>
      <c r="C18" s="33">
        <v>35</v>
      </c>
      <c r="D18">
        <f>+B18</f>
        <v>4</v>
      </c>
      <c r="F18" s="36">
        <f>+F9</f>
        <v>1.6666666666666667</v>
      </c>
      <c r="H18" s="36">
        <f>+C18*D18*F18</f>
        <v>233.33333333333334</v>
      </c>
    </row>
    <row r="19" spans="1:8" ht="14.25">
      <c r="A19" s="64" t="s">
        <v>198</v>
      </c>
      <c r="B19">
        <v>8</v>
      </c>
      <c r="C19" s="33">
        <v>0.8</v>
      </c>
      <c r="D19">
        <f>+D3*B19</f>
        <v>800</v>
      </c>
      <c r="F19" s="36"/>
      <c r="H19" s="36">
        <f>+D19*C19</f>
        <v>640</v>
      </c>
    </row>
    <row r="20" spans="1:8" ht="14.25">
      <c r="A20" s="64" t="s">
        <v>213</v>
      </c>
      <c r="B20">
        <v>17.25</v>
      </c>
      <c r="C20" s="33">
        <v>0.6</v>
      </c>
      <c r="D20">
        <f>+D3*B20</f>
        <v>1725</v>
      </c>
      <c r="F20" s="36"/>
      <c r="H20" s="36">
        <f>+D20*C20</f>
        <v>1035</v>
      </c>
    </row>
    <row r="21" spans="6:8" ht="14.25">
      <c r="F21" s="36"/>
      <c r="H21" s="36"/>
    </row>
    <row r="22" spans="1:8" ht="15">
      <c r="A22" s="34" t="s">
        <v>95</v>
      </c>
      <c r="F22" s="36"/>
      <c r="H22" s="36"/>
    </row>
    <row r="23" spans="1:8" ht="14.25">
      <c r="A23" t="s">
        <v>55</v>
      </c>
      <c r="B23">
        <v>10</v>
      </c>
      <c r="C23" s="33">
        <f>eenheidsprijzen!$B$7</f>
        <v>1.55</v>
      </c>
      <c r="D23">
        <f>+D3*B23</f>
        <v>1000</v>
      </c>
      <c r="F23" s="36"/>
      <c r="H23" s="36">
        <f>+D23*C23</f>
        <v>1550</v>
      </c>
    </row>
    <row r="24" spans="1:8" ht="14.25">
      <c r="A24" t="s">
        <v>61</v>
      </c>
      <c r="C24" s="33">
        <f>eenheidsprijzen!$B$9</f>
        <v>10</v>
      </c>
      <c r="D24">
        <f>+D23*B25</f>
        <v>18</v>
      </c>
      <c r="F24" s="36"/>
      <c r="H24" s="36">
        <f>+D24*C24</f>
        <v>180</v>
      </c>
    </row>
    <row r="25" spans="1:8" ht="14.25">
      <c r="A25" t="s">
        <v>58</v>
      </c>
      <c r="B25">
        <v>0.018</v>
      </c>
      <c r="F25" s="36"/>
      <c r="H25" s="36"/>
    </row>
    <row r="26" spans="1:8" ht="14.25">
      <c r="A26" t="s">
        <v>73</v>
      </c>
      <c r="B26">
        <f>+(3600/B28)*B27</f>
        <v>1008</v>
      </c>
      <c r="F26" s="36">
        <f>+D23/B26</f>
        <v>0.9920634920634921</v>
      </c>
      <c r="H26" s="36"/>
    </row>
    <row r="27" spans="1:8" ht="14.25">
      <c r="A27" t="s">
        <v>69</v>
      </c>
      <c r="B27">
        <v>7</v>
      </c>
      <c r="C27" s="33">
        <f>eenheidsprijzen!$B$4</f>
        <v>35</v>
      </c>
      <c r="F27" s="36"/>
      <c r="H27" s="36">
        <f>+B27*C27*F26</f>
        <v>243.05555555555557</v>
      </c>
    </row>
    <row r="28" spans="1:8" ht="14.25">
      <c r="A28" t="s">
        <v>70</v>
      </c>
      <c r="B28">
        <v>25</v>
      </c>
      <c r="F28" s="36"/>
      <c r="H28" s="36"/>
    </row>
    <row r="29" spans="1:8" ht="14.25">
      <c r="A29" t="s">
        <v>217</v>
      </c>
      <c r="B29">
        <v>4.5</v>
      </c>
      <c r="C29" s="33">
        <f>eenheidsprijzen!$B$18</f>
        <v>0.3</v>
      </c>
      <c r="D29">
        <f>+B29*D3</f>
        <v>450</v>
      </c>
      <c r="F29" s="36"/>
      <c r="H29" s="36">
        <f>+D29*C29</f>
        <v>135</v>
      </c>
    </row>
    <row r="30" spans="6:8" ht="14.25">
      <c r="F30" s="36"/>
      <c r="H30" s="36"/>
    </row>
    <row r="31" spans="1:8" ht="15">
      <c r="A31" s="34" t="s">
        <v>68</v>
      </c>
      <c r="F31" s="36"/>
      <c r="H31" s="36"/>
    </row>
    <row r="32" spans="1:8" ht="14.25">
      <c r="A32" t="s">
        <v>67</v>
      </c>
      <c r="B32">
        <v>1</v>
      </c>
      <c r="C32" s="33">
        <f>eenheidsprijzen!$B$3</f>
        <v>75</v>
      </c>
      <c r="D32">
        <v>1</v>
      </c>
      <c r="F32" s="36">
        <f>+F9</f>
        <v>1.6666666666666667</v>
      </c>
      <c r="H32" s="36">
        <f>+B32*C32*F32</f>
        <v>125</v>
      </c>
    </row>
    <row r="33" spans="1:8" ht="14.25">
      <c r="A33" t="s">
        <v>71</v>
      </c>
      <c r="B33">
        <v>2</v>
      </c>
      <c r="C33" s="33">
        <f>eenheidsprijzen!$B$15</f>
        <v>70</v>
      </c>
      <c r="D33">
        <v>2</v>
      </c>
      <c r="F33" s="36">
        <f>$F$9</f>
        <v>1.6666666666666667</v>
      </c>
      <c r="H33" s="36">
        <f>+B33*C33*F33</f>
        <v>233.33333333333334</v>
      </c>
    </row>
    <row r="34" spans="6:8" ht="14.25">
      <c r="F34" s="36"/>
      <c r="H34" s="36"/>
    </row>
    <row r="35" spans="1:8" ht="15">
      <c r="A35" s="34" t="s">
        <v>64</v>
      </c>
      <c r="F35" s="36"/>
      <c r="H35" s="36"/>
    </row>
    <row r="36" spans="1:8" ht="14.25">
      <c r="A36" t="s">
        <v>62</v>
      </c>
      <c r="C36" s="33">
        <v>0</v>
      </c>
      <c r="F36" s="36">
        <f>+D23/1000</f>
        <v>1</v>
      </c>
      <c r="H36" s="36">
        <f aca="true" t="shared" si="0" ref="H36:H41">+F36*C36*B36</f>
        <v>0</v>
      </c>
    </row>
    <row r="37" spans="1:8" ht="14.25">
      <c r="A37" t="s">
        <v>65</v>
      </c>
      <c r="B37">
        <v>15</v>
      </c>
      <c r="C37" s="33">
        <f>eenheidsprijzen!$B$4</f>
        <v>35</v>
      </c>
      <c r="F37" s="36">
        <f>$F$36</f>
        <v>1</v>
      </c>
      <c r="H37" s="36">
        <f t="shared" si="0"/>
        <v>525</v>
      </c>
    </row>
    <row r="38" spans="1:8" ht="14.25">
      <c r="A38" t="s">
        <v>63</v>
      </c>
      <c r="B38">
        <v>1</v>
      </c>
      <c r="C38" s="33">
        <f>eenheidsprijzen!$B$17</f>
        <v>60</v>
      </c>
      <c r="F38" s="36">
        <f>$F$36</f>
        <v>1</v>
      </c>
      <c r="H38" s="36">
        <f t="shared" si="0"/>
        <v>60</v>
      </c>
    </row>
    <row r="39" spans="1:8" ht="14.25">
      <c r="A39" t="s">
        <v>79</v>
      </c>
      <c r="C39" s="33">
        <f>eenheidsprijzen!$B$9</f>
        <v>10</v>
      </c>
      <c r="F39" s="36">
        <f>$F$36</f>
        <v>1</v>
      </c>
      <c r="H39" s="36">
        <f t="shared" si="0"/>
        <v>0</v>
      </c>
    </row>
    <row r="40" spans="1:8" ht="14.25">
      <c r="A40" t="s">
        <v>67</v>
      </c>
      <c r="B40">
        <v>1</v>
      </c>
      <c r="C40" s="33">
        <f>eenheidsprijzen!$B$3</f>
        <v>75</v>
      </c>
      <c r="F40" s="36">
        <f>$F$36</f>
        <v>1</v>
      </c>
      <c r="H40" s="36">
        <f t="shared" si="0"/>
        <v>75</v>
      </c>
    </row>
    <row r="41" spans="1:8" ht="14.25">
      <c r="A41" t="s">
        <v>80</v>
      </c>
      <c r="C41" s="33">
        <f>eenheidsprijzen!$B$7</f>
        <v>1.55</v>
      </c>
      <c r="F41" s="36">
        <f>$F$36</f>
        <v>1</v>
      </c>
      <c r="H41" s="36">
        <f t="shared" si="0"/>
        <v>0</v>
      </c>
    </row>
    <row r="42" spans="3:8" s="34" customFormat="1" ht="15">
      <c r="C42" s="35"/>
      <c r="E42" s="34" t="s">
        <v>180</v>
      </c>
      <c r="F42" s="38">
        <f>+F9</f>
        <v>1.6666666666666667</v>
      </c>
      <c r="G42" s="34" t="s">
        <v>97</v>
      </c>
      <c r="H42" s="38">
        <f>SUM(H6:H41)</f>
        <v>5468.055555555556</v>
      </c>
    </row>
    <row r="43" ht="14.25">
      <c r="H43" s="36"/>
    </row>
    <row r="44" ht="14.25">
      <c r="H44" s="36"/>
    </row>
    <row r="45" ht="14.25">
      <c r="H45" s="36"/>
    </row>
    <row r="46" ht="14.25">
      <c r="H46" s="3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:IV2"/>
    </sheetView>
  </sheetViews>
  <sheetFormatPr defaultColWidth="9.00390625" defaultRowHeight="14.25"/>
  <cols>
    <col min="1" max="1" width="38.875" style="0" customWidth="1"/>
  </cols>
  <sheetData>
    <row r="1" spans="4:6" ht="15">
      <c r="D1" s="34"/>
      <c r="F1" s="36"/>
    </row>
    <row r="2" spans="1:8" ht="43.5">
      <c r="A2" t="s">
        <v>251</v>
      </c>
      <c r="B2" s="61">
        <f>'Voorblad-Overzicht'!$C$29</f>
        <v>100</v>
      </c>
      <c r="C2" s="33" t="s">
        <v>75</v>
      </c>
      <c r="D2" s="35"/>
      <c r="E2" s="33"/>
      <c r="F2" s="37" t="s">
        <v>74</v>
      </c>
      <c r="G2" s="33"/>
      <c r="H2" s="33" t="s">
        <v>76</v>
      </c>
    </row>
    <row r="3" spans="1:6" ht="14.25">
      <c r="A3" t="s">
        <v>64</v>
      </c>
      <c r="F3" s="36"/>
    </row>
    <row r="4" spans="1:8" ht="14.25">
      <c r="A4" t="s">
        <v>62</v>
      </c>
      <c r="C4">
        <v>0</v>
      </c>
      <c r="F4" s="36">
        <f>+B2/1000</f>
        <v>0.1</v>
      </c>
      <c r="H4">
        <f aca="true" t="shared" si="0" ref="H4:H9">+F4*C4*B4</f>
        <v>0</v>
      </c>
    </row>
    <row r="5" spans="1:8" ht="14.25">
      <c r="A5" t="s">
        <v>65</v>
      </c>
      <c r="B5">
        <v>15</v>
      </c>
      <c r="C5">
        <f>eenheidsprijzen!$B$4</f>
        <v>35</v>
      </c>
      <c r="F5" s="36">
        <f>$F$4</f>
        <v>0.1</v>
      </c>
      <c r="H5">
        <f t="shared" si="0"/>
        <v>52.5</v>
      </c>
    </row>
    <row r="6" spans="1:8" ht="14.25">
      <c r="A6" t="s">
        <v>63</v>
      </c>
      <c r="B6">
        <v>1</v>
      </c>
      <c r="C6">
        <f>eenheidsprijzen!$B$17</f>
        <v>60</v>
      </c>
      <c r="F6" s="36">
        <f>$F$4</f>
        <v>0.1</v>
      </c>
      <c r="H6">
        <f t="shared" si="0"/>
        <v>6</v>
      </c>
    </row>
    <row r="7" spans="1:8" ht="14.25">
      <c r="A7" t="s">
        <v>133</v>
      </c>
      <c r="B7">
        <v>0.018</v>
      </c>
      <c r="C7">
        <f>eenheidsprijzen!$B$9</f>
        <v>10</v>
      </c>
      <c r="D7">
        <f>+B7*B2</f>
        <v>1.7999999999999998</v>
      </c>
      <c r="F7" s="36">
        <f>$F$4</f>
        <v>0.1</v>
      </c>
      <c r="H7">
        <f>+B2*B7*C7</f>
        <v>18</v>
      </c>
    </row>
    <row r="8" spans="1:8" ht="14.25">
      <c r="A8" t="s">
        <v>67</v>
      </c>
      <c r="B8">
        <v>1</v>
      </c>
      <c r="C8">
        <f>eenheidsprijzen!$B$3</f>
        <v>75</v>
      </c>
      <c r="F8" s="36">
        <f>$F$4</f>
        <v>0.1</v>
      </c>
      <c r="H8">
        <f t="shared" si="0"/>
        <v>7.5</v>
      </c>
    </row>
    <row r="9" spans="1:8" ht="14.25">
      <c r="A9" t="s">
        <v>80</v>
      </c>
      <c r="C9">
        <f>eenheidsprijzen!$B$7</f>
        <v>1.55</v>
      </c>
      <c r="F9" s="36">
        <f>$F$4</f>
        <v>0.1</v>
      </c>
      <c r="H9">
        <f t="shared" si="0"/>
        <v>0</v>
      </c>
    </row>
    <row r="10" spans="1:6" ht="14.25">
      <c r="A10" t="s">
        <v>66</v>
      </c>
      <c r="B10">
        <f>+B2/40</f>
        <v>2.5</v>
      </c>
      <c r="F10" s="36"/>
    </row>
    <row r="11" spans="5:8" ht="14.25">
      <c r="E11" t="s">
        <v>181</v>
      </c>
      <c r="F11" s="36">
        <f>+F4</f>
        <v>0.1</v>
      </c>
      <c r="G11" s="36" t="s">
        <v>81</v>
      </c>
      <c r="H11">
        <f>SUM(H3:H10)</f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A11" sqref="A11:IV11"/>
    </sheetView>
  </sheetViews>
  <sheetFormatPr defaultColWidth="9.00390625" defaultRowHeight="14.25"/>
  <cols>
    <col min="1" max="1" width="41.375" style="0" customWidth="1"/>
  </cols>
  <sheetData>
    <row r="3" spans="1:8" ht="43.5">
      <c r="A3" t="s">
        <v>251</v>
      </c>
      <c r="B3" s="61">
        <f>'Voorblad-Overzicht'!$C$35</f>
        <v>100</v>
      </c>
      <c r="C3" s="33" t="s">
        <v>75</v>
      </c>
      <c r="D3" s="35"/>
      <c r="E3" s="33"/>
      <c r="F3" s="37" t="s">
        <v>74</v>
      </c>
      <c r="G3" s="33"/>
      <c r="H3" s="33" t="s">
        <v>76</v>
      </c>
    </row>
    <row r="6" spans="1:6" ht="14.25">
      <c r="A6" t="s">
        <v>92</v>
      </c>
      <c r="F6" s="36">
        <f>+B3/60</f>
        <v>1.6666666666666667</v>
      </c>
    </row>
    <row r="7" spans="1:8" ht="14.25">
      <c r="A7" t="s">
        <v>91</v>
      </c>
      <c r="B7">
        <v>2</v>
      </c>
      <c r="C7">
        <f>eenheidsprijzen!$B$4</f>
        <v>35</v>
      </c>
      <c r="F7" s="36">
        <f>+F6</f>
        <v>1.6666666666666667</v>
      </c>
      <c r="H7">
        <f>+F7*C7*B7</f>
        <v>116.66666666666667</v>
      </c>
    </row>
    <row r="8" spans="1:8" ht="14.25">
      <c r="A8" t="s">
        <v>252</v>
      </c>
      <c r="B8">
        <v>1</v>
      </c>
      <c r="C8">
        <v>10</v>
      </c>
      <c r="D8">
        <f>+B8*B3</f>
        <v>100</v>
      </c>
      <c r="F8" s="36"/>
      <c r="H8">
        <f>+B3*C8</f>
        <v>1000</v>
      </c>
    </row>
    <row r="9" spans="1:8" ht="14.25">
      <c r="A9" t="s">
        <v>93</v>
      </c>
      <c r="B9">
        <v>1</v>
      </c>
      <c r="C9">
        <f>eenheidsprijzen!$B$3</f>
        <v>75</v>
      </c>
      <c r="F9" s="36">
        <f>+F6</f>
        <v>1.6666666666666667</v>
      </c>
      <c r="H9">
        <f>+F9*C9*B9</f>
        <v>125</v>
      </c>
    </row>
    <row r="10" spans="1:8" ht="14.25">
      <c r="A10" t="s">
        <v>132</v>
      </c>
      <c r="B10">
        <f>+B3</f>
        <v>100</v>
      </c>
      <c r="C10">
        <v>15</v>
      </c>
      <c r="F10" s="36">
        <f>$F$25</f>
        <v>0</v>
      </c>
      <c r="H10">
        <f>+B10*C10</f>
        <v>1500</v>
      </c>
    </row>
    <row r="11" spans="6:9" ht="14.25">
      <c r="F11" s="51" t="s">
        <v>81</v>
      </c>
      <c r="G11" s="51"/>
      <c r="H11" s="51">
        <f>SUM(H7:H10)</f>
        <v>2741.666666666667</v>
      </c>
      <c r="I11" s="5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11.00390625" style="51" customWidth="1"/>
    <col min="2" max="2" width="44.375" style="0" customWidth="1"/>
    <col min="3" max="3" width="16.00390625" style="54" customWidth="1"/>
    <col min="4" max="4" width="15.00390625" style="54" customWidth="1"/>
    <col min="5" max="5" width="12.375" style="56" customWidth="1"/>
    <col min="6" max="6" width="18.125" style="54" bestFit="1" customWidth="1"/>
    <col min="7" max="7" width="6.25390625" style="54" bestFit="1" customWidth="1"/>
    <col min="8" max="8" width="6.875" style="54" bestFit="1" customWidth="1"/>
    <col min="9" max="9" width="6.75390625" style="54" bestFit="1" customWidth="1"/>
    <col min="10" max="10" width="10.375" style="54" bestFit="1" customWidth="1"/>
    <col min="11" max="11" width="11.375" style="54" bestFit="1" customWidth="1"/>
    <col min="12" max="12" width="8.125" style="57" bestFit="1" customWidth="1"/>
    <col min="13" max="13" width="9.00390625" style="54" customWidth="1"/>
    <col min="14" max="14" width="13.125" style="54" bestFit="1" customWidth="1"/>
    <col min="15" max="17" width="9.00390625" style="54" customWidth="1"/>
    <col min="19" max="19" width="13.25390625" style="54" customWidth="1"/>
    <col min="20" max="20" width="12.875" style="54" customWidth="1"/>
    <col min="21" max="21" width="9.00390625" style="69" customWidth="1"/>
    <col min="22" max="22" width="10.125" style="0" customWidth="1"/>
    <col min="23" max="23" width="9.00390625" style="54" customWidth="1"/>
  </cols>
  <sheetData>
    <row r="1" spans="3:25" s="34" customFormat="1" ht="15">
      <c r="C1" s="58" t="s">
        <v>210</v>
      </c>
      <c r="D1" s="58" t="s">
        <v>192</v>
      </c>
      <c r="E1" s="59" t="s">
        <v>193</v>
      </c>
      <c r="F1" s="58" t="s">
        <v>194</v>
      </c>
      <c r="G1" s="58" t="s">
        <v>200</v>
      </c>
      <c r="H1" s="58" t="s">
        <v>120</v>
      </c>
      <c r="I1" s="58" t="s">
        <v>201</v>
      </c>
      <c r="J1" s="58" t="s">
        <v>175</v>
      </c>
      <c r="K1" s="58" t="s">
        <v>202</v>
      </c>
      <c r="L1" s="60" t="s">
        <v>203</v>
      </c>
      <c r="M1" s="58" t="s">
        <v>208</v>
      </c>
      <c r="N1" s="58" t="s">
        <v>218</v>
      </c>
      <c r="O1" s="58" t="s">
        <v>219</v>
      </c>
      <c r="P1" s="58" t="s">
        <v>156</v>
      </c>
      <c r="Q1" s="58" t="s">
        <v>124</v>
      </c>
      <c r="R1" s="34" t="s">
        <v>232</v>
      </c>
      <c r="S1" s="58" t="s">
        <v>234</v>
      </c>
      <c r="T1" s="58" t="s">
        <v>236</v>
      </c>
      <c r="U1" s="68" t="s">
        <v>238</v>
      </c>
      <c r="V1" s="58" t="s">
        <v>241</v>
      </c>
      <c r="W1" s="58" t="s">
        <v>238</v>
      </c>
      <c r="X1" s="34" t="s">
        <v>63</v>
      </c>
      <c r="Y1" s="34" t="s">
        <v>66</v>
      </c>
    </row>
    <row r="2" spans="1:23" s="34" customFormat="1" ht="15">
      <c r="A2" s="34" t="s">
        <v>38</v>
      </c>
      <c r="C2" s="58" t="s">
        <v>211</v>
      </c>
      <c r="D2" s="58" t="s">
        <v>225</v>
      </c>
      <c r="E2" s="59"/>
      <c r="F2" s="58"/>
      <c r="G2" s="58"/>
      <c r="H2" s="58"/>
      <c r="I2" s="58"/>
      <c r="J2" s="58"/>
      <c r="K2" s="58"/>
      <c r="L2" s="60"/>
      <c r="M2" s="58"/>
      <c r="N2" s="58"/>
      <c r="O2" s="58" t="s">
        <v>220</v>
      </c>
      <c r="P2" s="58" t="s">
        <v>139</v>
      </c>
      <c r="Q2" s="58" t="s">
        <v>224</v>
      </c>
      <c r="R2" s="34" t="s">
        <v>233</v>
      </c>
      <c r="S2" s="58" t="s">
        <v>139</v>
      </c>
      <c r="T2" s="58" t="s">
        <v>235</v>
      </c>
      <c r="U2" s="68" t="s">
        <v>239</v>
      </c>
      <c r="W2" s="58" t="s">
        <v>242</v>
      </c>
    </row>
    <row r="3" ht="15">
      <c r="A3" s="34" t="s">
        <v>188</v>
      </c>
    </row>
    <row r="4" spans="1:12" ht="15">
      <c r="A4" s="34" t="s">
        <v>204</v>
      </c>
      <c r="B4" t="s">
        <v>205</v>
      </c>
      <c r="C4" s="67">
        <v>100</v>
      </c>
      <c r="D4" s="55">
        <f>'HT zandzakken'!$F$30</f>
        <v>0.4166666666666667</v>
      </c>
      <c r="E4" s="56">
        <f>'HT zandzakken'!$H$30</f>
        <v>1955</v>
      </c>
      <c r="F4" s="54">
        <f>'HT zandzakken'!$B$14</f>
        <v>5</v>
      </c>
      <c r="G4" s="54">
        <f>'HT zandzakken'!$B$18</f>
        <v>1</v>
      </c>
      <c r="I4" s="54">
        <f>'HT zandzakken'!$B$19</f>
        <v>2</v>
      </c>
      <c r="K4" s="54">
        <f>'HT zandzakken'!$D$8</f>
        <v>750</v>
      </c>
      <c r="L4" s="57">
        <f>'HT zandzakken'!$D$10</f>
        <v>13.499999999999998</v>
      </c>
    </row>
    <row r="5" spans="1:12" ht="15">
      <c r="A5" s="34"/>
      <c r="B5" t="s">
        <v>206</v>
      </c>
      <c r="C5" s="67">
        <v>100</v>
      </c>
      <c r="D5" s="55">
        <f>'HT zandzakken'!$F$52</f>
        <v>0.8333333333333334</v>
      </c>
      <c r="E5" s="56">
        <f>'HT zandzakken'!$H$69</f>
        <v>3415</v>
      </c>
      <c r="F5" s="54">
        <f>'HT zandzakken'!$B$59</f>
        <v>5</v>
      </c>
      <c r="G5" s="54">
        <f>'HT zandzakken'!$B$57</f>
        <v>1</v>
      </c>
      <c r="I5" s="54">
        <f>'HT zandzakken'!$B$58</f>
        <v>2</v>
      </c>
      <c r="K5" s="54">
        <f>'HT zandzakken'!$D$47</f>
        <v>1500</v>
      </c>
      <c r="L5" s="57">
        <f>'HT zandzakken'!$D$49</f>
        <v>26.999999999999996</v>
      </c>
    </row>
    <row r="6" spans="1:13" ht="15">
      <c r="A6" s="34"/>
      <c r="B6" t="s">
        <v>189</v>
      </c>
      <c r="C6" s="67">
        <v>100</v>
      </c>
      <c r="D6" s="55">
        <f>'HT bigbags'!$F$54</f>
        <v>1.6666666666666667</v>
      </c>
      <c r="E6" s="56">
        <f>'HT bigbags'!$H$54</f>
        <v>5328.194444444444</v>
      </c>
      <c r="F6" s="54">
        <f>SUM('HT bigbags'!B20)+'HT bigbags'!B40</f>
        <v>8</v>
      </c>
      <c r="G6" s="54">
        <f>'HT bigbags'!$B$18</f>
        <v>1</v>
      </c>
      <c r="H6" s="54">
        <f>'HT bigbags'!$B$44</f>
        <v>1</v>
      </c>
      <c r="I6" s="54">
        <f>SUM('HT bigbags'!B19)+'HT bigbags'!B45</f>
        <v>4</v>
      </c>
      <c r="K6" s="54">
        <f>'HT bigbags'!$D$34</f>
        <v>750</v>
      </c>
      <c r="L6" s="57">
        <f>SUM('HT bigbags'!D10)+'HT bigbags'!D36</f>
        <v>113.5</v>
      </c>
      <c r="M6" s="54">
        <f>'HT bigbags'!$D$8</f>
        <v>100</v>
      </c>
    </row>
    <row r="7" spans="1:12" ht="15">
      <c r="A7" s="34"/>
      <c r="B7" t="s">
        <v>190</v>
      </c>
      <c r="C7" s="67">
        <v>100</v>
      </c>
      <c r="D7" s="55">
        <f>'HT strobalen'!$F$45</f>
        <v>0.5555555555555556</v>
      </c>
      <c r="E7" s="56">
        <f>'HT strobalen'!$H$45</f>
        <v>2134.1666666666665</v>
      </c>
      <c r="F7" s="54">
        <f>SUM('HT strobalen'!B18)+'HT strobalen'!B31</f>
        <v>8</v>
      </c>
      <c r="G7" s="54">
        <f>'HT folie'!$B$32</f>
        <v>1</v>
      </c>
      <c r="I7" s="54">
        <f>'HT folie'!$B$33</f>
        <v>2</v>
      </c>
      <c r="K7" s="54">
        <f>'HT strobalen'!$D$26</f>
        <v>500</v>
      </c>
      <c r="L7" s="57">
        <f>SUM('HT strobalen'!D27)</f>
        <v>9</v>
      </c>
    </row>
    <row r="8" spans="1:15" ht="15">
      <c r="A8" s="34"/>
      <c r="B8" t="s">
        <v>191</v>
      </c>
      <c r="C8" s="67">
        <v>100</v>
      </c>
      <c r="D8" s="55">
        <f>'HT folie'!$F$42</f>
        <v>0.8333333333333334</v>
      </c>
      <c r="E8" s="56">
        <f>'HT folie'!$H$42</f>
        <v>5237.083333333333</v>
      </c>
      <c r="F8" s="54">
        <f>SUM('HT folie'!B28)+'HT folie'!B16</f>
        <v>11</v>
      </c>
      <c r="G8" s="54">
        <f>'HT folie'!$B$32</f>
        <v>1</v>
      </c>
      <c r="I8" s="54">
        <f>'HT folie'!$B$33</f>
        <v>2</v>
      </c>
      <c r="K8" s="54">
        <f>'HT folie'!$D$22</f>
        <v>750</v>
      </c>
      <c r="L8" s="57">
        <f>'HT folie'!$D$24</f>
        <v>13.499999999999998</v>
      </c>
      <c r="N8" s="54">
        <f>'HT folie'!$D$17</f>
        <v>1100</v>
      </c>
      <c r="O8" s="65">
        <f>'HT folie'!$D$10</f>
        <v>41.666666666666664</v>
      </c>
    </row>
    <row r="9" spans="1:15" ht="15">
      <c r="A9" s="34"/>
      <c r="C9" s="67"/>
      <c r="D9" s="55"/>
      <c r="O9" s="65"/>
    </row>
    <row r="10" spans="1:16" ht="15">
      <c r="A10" s="34" t="s">
        <v>195</v>
      </c>
      <c r="B10" t="s">
        <v>226</v>
      </c>
      <c r="C10" s="67">
        <v>50</v>
      </c>
      <c r="D10" s="54">
        <f>'STPH berm'!$G$14</f>
        <v>2</v>
      </c>
      <c r="E10" s="56">
        <f>'STPH berm'!$I$14</f>
        <v>2503.3333333333335</v>
      </c>
      <c r="F10" s="54">
        <f>'STPH berm'!$B$13</f>
        <v>1</v>
      </c>
      <c r="H10" s="54">
        <f>'STPH berm'!$B$10</f>
        <v>1</v>
      </c>
      <c r="J10" s="65">
        <f>'STPH berm'!$B$11</f>
        <v>13.888888888888891</v>
      </c>
      <c r="L10" s="57">
        <f>'STPH berm'!$E$7</f>
        <v>500</v>
      </c>
      <c r="P10" s="54">
        <f>'STPH berm'!$E$12</f>
        <v>500</v>
      </c>
    </row>
    <row r="11" spans="1:17" ht="15">
      <c r="A11" s="34"/>
      <c r="B11" t="s">
        <v>223</v>
      </c>
      <c r="C11" s="67">
        <v>50</v>
      </c>
      <c r="D11" s="54">
        <f>'STPH berm'!$G$28</f>
        <v>4</v>
      </c>
      <c r="E11" s="56">
        <f>'STPH berm'!$I$28</f>
        <v>3373.3333333333335</v>
      </c>
      <c r="F11" s="54">
        <f>'STPH berm'!$B$27</f>
        <v>1</v>
      </c>
      <c r="H11" s="54">
        <f>SUM('STPH berm'!B22)+'STPH berm'!B25</f>
        <v>2</v>
      </c>
      <c r="J11" s="65">
        <f>'STPH berm'!$B$23</f>
        <v>6.9444444444444455</v>
      </c>
      <c r="L11" s="57">
        <f>'STPH berm'!$E$7</f>
        <v>500</v>
      </c>
      <c r="P11" s="54">
        <f>'STPH berm'!$E$26</f>
        <v>500</v>
      </c>
      <c r="Q11" s="54">
        <f>'STPH berm'!$B$24</f>
        <v>70</v>
      </c>
    </row>
    <row r="12" spans="1:6" ht="15">
      <c r="A12" s="34"/>
      <c r="B12" t="s">
        <v>227</v>
      </c>
      <c r="C12" s="67">
        <v>10</v>
      </c>
      <c r="D12" s="54">
        <f>'stph peilopzetten'!$F$5</f>
        <v>1</v>
      </c>
      <c r="E12" s="56">
        <f>'stph peilopzetten'!$H$5</f>
        <v>35</v>
      </c>
      <c r="F12" s="54">
        <f>'stph peilopzetten'!$F$5</f>
        <v>1</v>
      </c>
    </row>
    <row r="13" spans="1:12" ht="15">
      <c r="A13" s="34"/>
      <c r="B13" t="s">
        <v>247</v>
      </c>
      <c r="C13" s="67">
        <v>10</v>
      </c>
      <c r="D13" s="55">
        <f>'stph peilopzetten'!$F$35</f>
        <v>4.62962962962963</v>
      </c>
      <c r="E13" s="56">
        <f>'stph peilopzetten'!$H$35</f>
        <v>2682.745185185185</v>
      </c>
      <c r="F13" s="54">
        <f>'stph peilopzetten'!$D$25</f>
        <v>3</v>
      </c>
      <c r="I13" s="54">
        <f>'stph peilopzetten'!$D$24</f>
        <v>1</v>
      </c>
      <c r="K13" s="54">
        <f>'stph peilopzetten'!$D$14</f>
        <v>1000</v>
      </c>
      <c r="L13" s="57">
        <f>'stph peilopzetten'!$D$16</f>
        <v>18</v>
      </c>
    </row>
    <row r="14" spans="1:16" ht="15">
      <c r="A14" s="34"/>
      <c r="B14" t="s">
        <v>249</v>
      </c>
      <c r="C14" s="67">
        <v>3</v>
      </c>
      <c r="D14" s="55">
        <f>'stph opkisten wellen'!$F$30</f>
        <v>1.25</v>
      </c>
      <c r="E14" s="56">
        <f>'stph opkisten wellen'!$H$30</f>
        <v>833.21</v>
      </c>
      <c r="F14" s="54">
        <f>'stph opkisten wellen'!$B$19</f>
        <v>3</v>
      </c>
      <c r="I14" s="54">
        <f>'stph opkisten wellen'!$B$18</f>
        <v>1</v>
      </c>
      <c r="K14" s="54">
        <f>'stph opkisten wellen'!$D$8</f>
        <v>270</v>
      </c>
      <c r="L14" s="57">
        <f>'stph opkisten wellen'!$D$10</f>
        <v>4.859999999999999</v>
      </c>
      <c r="P14" s="54">
        <f>'stph opkisten wellen'!$D$20</f>
        <v>12</v>
      </c>
    </row>
    <row r="15" spans="1:16" ht="15">
      <c r="A15" s="34" t="s">
        <v>228</v>
      </c>
      <c r="B15" t="s">
        <v>229</v>
      </c>
      <c r="C15" s="67">
        <v>150</v>
      </c>
      <c r="D15" s="54">
        <f>'stbi berm aanbr.'!$G$14</f>
        <v>4.8</v>
      </c>
      <c r="E15" s="56">
        <f>'stbi berm aanbr.'!$I$14</f>
        <v>3653</v>
      </c>
      <c r="F15" s="54">
        <f>'stbi berm aanbr.'!$B$13</f>
        <v>1</v>
      </c>
      <c r="H15" s="54">
        <f>'stbi berm aanbr.'!$B$10</f>
        <v>1</v>
      </c>
      <c r="J15" s="65">
        <f>'stbi berm aanbr.'!$B$11</f>
        <v>8.680555555555555</v>
      </c>
      <c r="L15" s="57">
        <f>'stbi berm aanbr.'!$E$7</f>
        <v>750</v>
      </c>
      <c r="P15" s="54">
        <f>'stbi berm aanbr.'!$E$12</f>
        <v>0</v>
      </c>
    </row>
    <row r="16" spans="1:17" ht="15">
      <c r="A16" s="34"/>
      <c r="B16" t="s">
        <v>230</v>
      </c>
      <c r="C16" s="67">
        <v>100</v>
      </c>
      <c r="D16" s="54">
        <f>'stbi berm aanbr.'!$G$22</f>
        <v>5</v>
      </c>
      <c r="E16" s="56">
        <f>'stbi berm aanbr.'!$I$30</f>
        <v>3358.3333333333335</v>
      </c>
      <c r="F16" s="54">
        <f>'stbi berm aanbr.'!$B$28</f>
        <v>1</v>
      </c>
      <c r="H16" s="54">
        <f>SUM('stbi berm aanbr.'!B26)+'stbi berm aanbr.'!B23</f>
        <v>2</v>
      </c>
      <c r="J16" s="65">
        <f>'stbi berm aanbr.'!$B$24</f>
        <v>5.555555555555556</v>
      </c>
      <c r="L16" s="57">
        <f>'stbi berm aanbr.'!$E$20</f>
        <v>500</v>
      </c>
      <c r="P16" s="54">
        <f>'stbi berm aanbr.'!$E$27</f>
        <v>0</v>
      </c>
      <c r="Q16" s="54">
        <f>'stbi berm aanbr.'!$B$25</f>
        <v>70</v>
      </c>
    </row>
    <row r="17" spans="1:17" ht="15">
      <c r="A17" s="34"/>
      <c r="B17" t="s">
        <v>231</v>
      </c>
      <c r="C17" s="67">
        <v>100</v>
      </c>
      <c r="D17" s="55">
        <f>'stbi gewi aanbr'!$F$29</f>
        <v>10.333333333333334</v>
      </c>
      <c r="E17" s="56">
        <f>'stbi gewi aanbr'!$H$29</f>
        <v>16800</v>
      </c>
      <c r="F17" s="54">
        <f>'stbi gewi aanbr'!$B$20</f>
        <v>3</v>
      </c>
      <c r="G17" s="54">
        <f>'stbi gewi aanbr'!$B$18</f>
        <v>1</v>
      </c>
      <c r="H17" s="54">
        <f>SUM('stbi gewi aanbr'!B22)</f>
        <v>1</v>
      </c>
      <c r="I17" s="54">
        <f>'stbi gewi aanbr'!$B$19</f>
        <v>2</v>
      </c>
      <c r="L17" s="57">
        <f>'stbi gewi aanbr'!$D$10</f>
        <v>500</v>
      </c>
      <c r="M17" s="54">
        <f>'stbi gewi aanbr'!$D$8</f>
        <v>500</v>
      </c>
      <c r="P17" s="54">
        <f>'stbi berm aanbr.'!$E$27</f>
        <v>0</v>
      </c>
      <c r="Q17" s="54">
        <f>'stbi gewi aanbr'!$B$21</f>
        <v>70</v>
      </c>
    </row>
    <row r="18" spans="1:20" ht="15">
      <c r="A18" s="34"/>
      <c r="B18" t="s">
        <v>250</v>
      </c>
      <c r="C18" s="67">
        <v>100</v>
      </c>
      <c r="D18" s="55">
        <f>'stbi gewi aanbr'!$F$57</f>
        <v>8.363636363636363</v>
      </c>
      <c r="E18" s="56">
        <f>'stbi gewi aanbr'!$H$57</f>
        <v>5267.626262626263</v>
      </c>
      <c r="F18" s="54">
        <f>SUM('stbi gewi aanbr'!B55+'stbi gewi aanbr'!B47)</f>
        <v>3</v>
      </c>
      <c r="H18" s="54">
        <f>SUM('stbi gewi aanbr'!B51)+'stbi gewi aanbr'!B44</f>
        <v>2</v>
      </c>
      <c r="J18" s="54">
        <f>'stbi gewi aanbr'!$B$42</f>
        <v>10</v>
      </c>
      <c r="Q18" s="54">
        <f>'stbi gewi aanbr'!$B$50</f>
        <v>70</v>
      </c>
      <c r="R18" s="53">
        <f>'stbi gewi aanbr'!$B$39</f>
        <v>33.333333333333336</v>
      </c>
      <c r="S18" s="54">
        <f>'stbi gewi aanbr'!$B$46</f>
        <v>300</v>
      </c>
      <c r="T18" s="54">
        <f>'stbi gewi aanbr'!$B$56</f>
        <v>1</v>
      </c>
    </row>
    <row r="19" spans="1:21" ht="15">
      <c r="A19" s="34" t="s">
        <v>237</v>
      </c>
      <c r="B19" t="s">
        <v>240</v>
      </c>
      <c r="C19" s="67">
        <v>100</v>
      </c>
      <c r="D19" s="55">
        <f>'STBU versteviging'!$F$37</f>
        <v>1.2116402116402116</v>
      </c>
      <c r="E19" s="56">
        <f>'STBU versteviging'!$H$37</f>
        <v>2828.6296296296296</v>
      </c>
      <c r="F19" s="54">
        <f>SUM('STBU versteviging'!B23)+'STBU versteviging'!B14</f>
        <v>8</v>
      </c>
      <c r="G19" s="54">
        <f>SUM('STBU versteviging'!B27)</f>
        <v>1</v>
      </c>
      <c r="I19" s="54">
        <f>'STBU versteviging'!$B$28</f>
        <v>2</v>
      </c>
      <c r="K19" s="54">
        <f>'STBU versteviging'!$D$19</f>
        <v>800</v>
      </c>
      <c r="L19" s="57">
        <f>'STBU versteviging'!$D$20</f>
        <v>14.399999999999999</v>
      </c>
      <c r="P19" s="54">
        <f>'STBU versteviging'!$D$8</f>
        <v>500</v>
      </c>
      <c r="U19" s="69">
        <f>'STBU versteviging'!$D$15</f>
        <v>250</v>
      </c>
    </row>
    <row r="20" spans="1:23" ht="15">
      <c r="A20" s="34"/>
      <c r="B20" t="s">
        <v>243</v>
      </c>
      <c r="C20" s="67">
        <v>100</v>
      </c>
      <c r="D20" s="55">
        <f>Bekramming!$F$42</f>
        <v>1.6666666666666667</v>
      </c>
      <c r="E20" s="56">
        <f>Bekramming!$H$42</f>
        <v>5468.055555555556</v>
      </c>
      <c r="F20" s="54">
        <f>SUM(Bekramming!B27)+Bekramming!B14</f>
        <v>9</v>
      </c>
      <c r="G20" s="54">
        <f>SUM(Bekramming!B15)+Bekramming!B32</f>
        <v>2</v>
      </c>
      <c r="I20" s="54">
        <f>Bekramming!$B$33</f>
        <v>2</v>
      </c>
      <c r="K20" s="54">
        <f>Bekramming!$D$23</f>
        <v>1000</v>
      </c>
      <c r="L20" s="57">
        <f>Bekramming!$D$24</f>
        <v>18</v>
      </c>
      <c r="N20" s="54">
        <f>Bekramming!$D$19</f>
        <v>800</v>
      </c>
      <c r="P20" s="54">
        <f>Bekramming!$D$8</f>
        <v>500</v>
      </c>
      <c r="U20" s="69">
        <f>Bekramming!$D$19</f>
        <v>800</v>
      </c>
      <c r="V20">
        <f>Bekramming!$D$20</f>
        <v>1725</v>
      </c>
      <c r="W20" s="54">
        <f>Bekramming!$D$29</f>
        <v>450</v>
      </c>
    </row>
    <row r="21" ht="14.25">
      <c r="C21" s="66"/>
    </row>
    <row r="22" ht="14.25">
      <c r="C22" s="66"/>
    </row>
    <row r="23" ht="14.25">
      <c r="C23" s="66"/>
    </row>
    <row r="24" ht="14.25">
      <c r="C24" s="66"/>
    </row>
    <row r="25" ht="14.25">
      <c r="C25" s="66"/>
    </row>
    <row r="26" ht="14.25">
      <c r="C26" s="66"/>
    </row>
    <row r="27" ht="15">
      <c r="C27" s="73" t="s">
        <v>244</v>
      </c>
    </row>
    <row r="28" ht="15">
      <c r="C28" s="73" t="s">
        <v>245</v>
      </c>
    </row>
    <row r="29" spans="2:25" ht="15">
      <c r="B29" s="34" t="s">
        <v>64</v>
      </c>
      <c r="C29" s="74">
        <v>100</v>
      </c>
      <c r="D29" s="52">
        <f>zandzakkenvulmachine!$F$4</f>
        <v>0.1</v>
      </c>
      <c r="E29" s="51">
        <f>zandzakkenvulmachine!$H$11</f>
        <v>84</v>
      </c>
      <c r="F29" s="51">
        <f>zandzakkenvulmachine!$B$5</f>
        <v>15</v>
      </c>
      <c r="G29" s="52"/>
      <c r="H29" s="51">
        <f>zandzakkenvulmachine!$B$8</f>
        <v>1</v>
      </c>
      <c r="I29" s="51"/>
      <c r="J29" s="70"/>
      <c r="K29" s="70">
        <f>+C29</f>
        <v>100</v>
      </c>
      <c r="L29" s="71">
        <f>zandzakkenvulmachine!$D$7</f>
        <v>1.7999999999999998</v>
      </c>
      <c r="M29" s="70"/>
      <c r="N29" s="70"/>
      <c r="O29" s="70"/>
      <c r="P29" s="70"/>
      <c r="Q29" s="70"/>
      <c r="R29" s="51"/>
      <c r="S29" s="70"/>
      <c r="T29" s="70"/>
      <c r="U29" s="72"/>
      <c r="V29" s="51"/>
      <c r="W29" s="70"/>
      <c r="X29">
        <f>zandzakkenvulmachine!$B$6</f>
        <v>1</v>
      </c>
      <c r="Y29">
        <f>zandzakkenvulmachine!$B$10</f>
        <v>2.5</v>
      </c>
    </row>
    <row r="30" spans="2:9" ht="14.25">
      <c r="B30" t="s">
        <v>62</v>
      </c>
      <c r="C30"/>
      <c r="D30" s="36">
        <f>+E15/1000</f>
        <v>3.653</v>
      </c>
      <c r="E30">
        <v>0</v>
      </c>
      <c r="F30"/>
      <c r="H30"/>
      <c r="I30">
        <f>+D30*E30*C30</f>
        <v>0</v>
      </c>
    </row>
    <row r="31" spans="3:9" ht="15">
      <c r="C31"/>
      <c r="D31"/>
      <c r="E31" s="34"/>
      <c r="F31"/>
      <c r="G31" s="36"/>
      <c r="H31"/>
      <c r="I31"/>
    </row>
    <row r="32" spans="3:9" ht="15">
      <c r="C32"/>
      <c r="D32"/>
      <c r="E32" s="34"/>
      <c r="F32"/>
      <c r="G32" s="36"/>
      <c r="H32"/>
      <c r="I32"/>
    </row>
    <row r="33" spans="3:9" ht="15">
      <c r="C33" s="73" t="s">
        <v>244</v>
      </c>
      <c r="D33"/>
      <c r="E33" s="34"/>
      <c r="F33"/>
      <c r="G33" s="36"/>
      <c r="H33"/>
      <c r="I33"/>
    </row>
    <row r="34" ht="13.5" customHeight="1">
      <c r="C34" s="73" t="s">
        <v>246</v>
      </c>
    </row>
    <row r="35" spans="2:12" ht="15">
      <c r="B35" s="34" t="s">
        <v>92</v>
      </c>
      <c r="C35" s="74">
        <v>100</v>
      </c>
      <c r="D35" s="52">
        <f>'big bags'!$F$6</f>
        <v>1.6666666666666667</v>
      </c>
      <c r="E35" s="51">
        <f>'big bags'!$H$11</f>
        <v>2741.666666666667</v>
      </c>
      <c r="F35" s="51">
        <f>'big bags'!$B$7</f>
        <v>2</v>
      </c>
      <c r="G35" s="52"/>
      <c r="H35" s="51"/>
      <c r="I35" s="51"/>
      <c r="J35" s="70"/>
      <c r="K35" s="70"/>
      <c r="L35" s="71"/>
    </row>
    <row r="36" spans="2:9" ht="14.25">
      <c r="B36" t="s">
        <v>91</v>
      </c>
      <c r="C36">
        <v>2</v>
      </c>
      <c r="E36">
        <f>eenheidsprijzen!$B$4</f>
        <v>35</v>
      </c>
      <c r="F36"/>
      <c r="G36" s="36">
        <f>+E23/60</f>
        <v>0</v>
      </c>
      <c r="H36"/>
      <c r="I36">
        <f>+G36*E36*C36</f>
        <v>0</v>
      </c>
    </row>
    <row r="37" spans="2:9" ht="14.25">
      <c r="B37" t="s">
        <v>79</v>
      </c>
      <c r="C37"/>
      <c r="E37"/>
      <c r="F37"/>
      <c r="G37" s="36">
        <f>$F$24</f>
        <v>0</v>
      </c>
      <c r="H37"/>
      <c r="I37">
        <f>+G37*E37*C37</f>
        <v>0</v>
      </c>
    </row>
    <row r="38" spans="2:9" ht="14.25">
      <c r="B38" t="s">
        <v>93</v>
      </c>
      <c r="C38">
        <v>1</v>
      </c>
      <c r="E38">
        <f>eenheidsprijzen!$B$3</f>
        <v>75</v>
      </c>
      <c r="F38"/>
      <c r="G38" s="36">
        <f>$F$24</f>
        <v>0</v>
      </c>
      <c r="H38"/>
      <c r="I38">
        <f>+G38*E38*C38</f>
        <v>0</v>
      </c>
    </row>
    <row r="39" spans="2:9" ht="14.25">
      <c r="B39" t="s">
        <v>94</v>
      </c>
      <c r="C39"/>
      <c r="E39"/>
      <c r="F39"/>
      <c r="G39" s="36">
        <f>$F$24</f>
        <v>0</v>
      </c>
      <c r="H39"/>
      <c r="I39">
        <f>+G39*E39*C39</f>
        <v>0</v>
      </c>
    </row>
    <row r="40" spans="3:9" ht="15">
      <c r="C40"/>
      <c r="D40"/>
      <c r="E40" s="34"/>
      <c r="F40"/>
      <c r="G40" s="36"/>
      <c r="H40"/>
      <c r="I4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9"/>
  <sheetViews>
    <sheetView zoomScalePageLayoutView="0" workbookViewId="0" topLeftCell="A4">
      <selection activeCell="D31" sqref="D31"/>
    </sheetView>
  </sheetViews>
  <sheetFormatPr defaultColWidth="9.00390625" defaultRowHeight="14.25"/>
  <cols>
    <col min="1" max="1" width="39.25390625" style="0" customWidth="1"/>
    <col min="4" max="4" width="11.25390625" style="34" customWidth="1"/>
    <col min="5" max="5" width="13.625" style="0" customWidth="1"/>
    <col min="6" max="6" width="9.00390625" style="36" customWidth="1"/>
  </cols>
  <sheetData>
    <row r="2" spans="1:6" ht="15">
      <c r="A2" s="39" t="s">
        <v>56</v>
      </c>
      <c r="C2" s="34" t="s">
        <v>57</v>
      </c>
      <c r="D2"/>
      <c r="E2" s="36"/>
      <c r="F2"/>
    </row>
    <row r="3" ht="15">
      <c r="B3" t="s">
        <v>72</v>
      </c>
    </row>
    <row r="4" spans="1:8" s="33" customFormat="1" ht="43.5">
      <c r="A4" s="33" t="s">
        <v>72</v>
      </c>
      <c r="B4" s="61">
        <f>'Voorblad-Overzicht'!$C$4</f>
        <v>100</v>
      </c>
      <c r="C4" s="33" t="s">
        <v>75</v>
      </c>
      <c r="D4" s="35" t="s">
        <v>60</v>
      </c>
      <c r="F4" s="37" t="s">
        <v>74</v>
      </c>
      <c r="H4" s="33" t="s">
        <v>76</v>
      </c>
    </row>
    <row r="5" spans="4:6" s="33" customFormat="1" ht="15">
      <c r="D5" s="35"/>
      <c r="F5" s="37"/>
    </row>
    <row r="7" spans="1:6" s="33" customFormat="1" ht="15">
      <c r="A7" s="35" t="s">
        <v>55</v>
      </c>
      <c r="B7" s="33">
        <v>7.5</v>
      </c>
      <c r="D7" s="35"/>
      <c r="F7" s="37"/>
    </row>
    <row r="8" spans="1:8" ht="15">
      <c r="A8" t="s">
        <v>59</v>
      </c>
      <c r="C8">
        <f>eenheidsprijzen!$B$7</f>
        <v>1.55</v>
      </c>
      <c r="D8" s="34">
        <f>+B7*B4</f>
        <v>750</v>
      </c>
      <c r="H8">
        <f>+D8*C8</f>
        <v>1162.5</v>
      </c>
    </row>
    <row r="10" spans="1:8" ht="15">
      <c r="A10" s="34" t="s">
        <v>61</v>
      </c>
      <c r="C10">
        <f>eenheidsprijzen!$B$9</f>
        <v>10</v>
      </c>
      <c r="D10" s="34">
        <f>+D8*B11</f>
        <v>13.499999999999998</v>
      </c>
      <c r="H10">
        <f>+D10*C10</f>
        <v>134.99999999999997</v>
      </c>
    </row>
    <row r="11" spans="1:2" ht="15">
      <c r="A11" t="s">
        <v>58</v>
      </c>
      <c r="B11">
        <v>0.018</v>
      </c>
    </row>
    <row r="13" spans="1:6" ht="15">
      <c r="A13" s="34" t="s">
        <v>73</v>
      </c>
      <c r="B13" s="34">
        <f>+(3600/B15)*B14</f>
        <v>1800</v>
      </c>
      <c r="F13" s="36">
        <f>+D8/B13</f>
        <v>0.4166666666666667</v>
      </c>
    </row>
    <row r="14" spans="1:2" ht="15">
      <c r="A14" t="s">
        <v>69</v>
      </c>
      <c r="B14">
        <v>5</v>
      </c>
    </row>
    <row r="15" spans="1:2" ht="15">
      <c r="A15" t="s">
        <v>70</v>
      </c>
      <c r="B15">
        <v>10</v>
      </c>
    </row>
    <row r="17" ht="15">
      <c r="A17" s="34" t="s">
        <v>68</v>
      </c>
    </row>
    <row r="18" spans="1:8" ht="15">
      <c r="A18" t="s">
        <v>67</v>
      </c>
      <c r="B18">
        <v>1</v>
      </c>
      <c r="C18">
        <f>eenheidsprijzen!$B$3</f>
        <v>75</v>
      </c>
      <c r="D18" s="34">
        <v>1</v>
      </c>
      <c r="F18" s="36">
        <f>+F13</f>
        <v>0.4166666666666667</v>
      </c>
      <c r="H18">
        <f>+B18*C18*F18</f>
        <v>31.25</v>
      </c>
    </row>
    <row r="19" spans="1:8" ht="15">
      <c r="A19" t="s">
        <v>71</v>
      </c>
      <c r="B19">
        <v>2</v>
      </c>
      <c r="C19">
        <f>eenheidsprijzen!$B$15</f>
        <v>70</v>
      </c>
      <c r="D19" s="34">
        <v>2</v>
      </c>
      <c r="F19" s="36">
        <f>+F13</f>
        <v>0.4166666666666667</v>
      </c>
      <c r="H19">
        <f>+B19*C19*F19</f>
        <v>58.333333333333336</v>
      </c>
    </row>
    <row r="20" spans="1:8" ht="15">
      <c r="A20" t="s">
        <v>78</v>
      </c>
      <c r="B20">
        <v>5</v>
      </c>
      <c r="C20">
        <f>eenheidsprijzen!$B$4</f>
        <v>35</v>
      </c>
      <c r="D20" s="34">
        <v>5</v>
      </c>
      <c r="F20" s="36">
        <f>+F13</f>
        <v>0.4166666666666667</v>
      </c>
      <c r="H20">
        <f>+B20*C20*F20</f>
        <v>72.91666666666667</v>
      </c>
    </row>
    <row r="22" spans="1:6" s="34" customFormat="1" ht="15">
      <c r="A22" s="34" t="s">
        <v>64</v>
      </c>
      <c r="F22" s="38"/>
    </row>
    <row r="23" spans="1:8" ht="15">
      <c r="A23" t="s">
        <v>62</v>
      </c>
      <c r="C23">
        <v>0</v>
      </c>
      <c r="F23" s="36">
        <f>+D8/1000</f>
        <v>0.75</v>
      </c>
      <c r="H23">
        <f aca="true" t="shared" si="0" ref="H23:H28">+F23*C23*B23</f>
        <v>0</v>
      </c>
    </row>
    <row r="24" spans="1:8" ht="15">
      <c r="A24" t="s">
        <v>65</v>
      </c>
      <c r="B24">
        <v>15</v>
      </c>
      <c r="C24">
        <f>eenheidsprijzen!$B$4</f>
        <v>35</v>
      </c>
      <c r="F24" s="36">
        <f>$F$23</f>
        <v>0.75</v>
      </c>
      <c r="H24">
        <f t="shared" si="0"/>
        <v>393.75</v>
      </c>
    </row>
    <row r="25" spans="1:8" ht="15">
      <c r="A25" t="s">
        <v>63</v>
      </c>
      <c r="B25">
        <v>1</v>
      </c>
      <c r="C25">
        <f>eenheidsprijzen!$B$17</f>
        <v>60</v>
      </c>
      <c r="F25" s="36">
        <f>$F$23</f>
        <v>0.75</v>
      </c>
      <c r="H25">
        <f t="shared" si="0"/>
        <v>45</v>
      </c>
    </row>
    <row r="26" spans="1:8" ht="15">
      <c r="A26" t="s">
        <v>79</v>
      </c>
      <c r="C26">
        <f>eenheidsprijzen!$B$9</f>
        <v>10</v>
      </c>
      <c r="F26" s="36">
        <f>$F$23</f>
        <v>0.75</v>
      </c>
      <c r="H26">
        <f t="shared" si="0"/>
        <v>0</v>
      </c>
    </row>
    <row r="27" spans="1:8" ht="15">
      <c r="A27" t="s">
        <v>67</v>
      </c>
      <c r="B27">
        <v>1</v>
      </c>
      <c r="C27">
        <f>eenheidsprijzen!$B$3</f>
        <v>75</v>
      </c>
      <c r="F27" s="36">
        <f>$F$23</f>
        <v>0.75</v>
      </c>
      <c r="H27">
        <f t="shared" si="0"/>
        <v>56.25</v>
      </c>
    </row>
    <row r="28" spans="1:8" ht="15">
      <c r="A28" t="s">
        <v>80</v>
      </c>
      <c r="C28">
        <f>eenheidsprijzen!$B$7</f>
        <v>1.55</v>
      </c>
      <c r="F28" s="36">
        <f>$F$23</f>
        <v>0.75</v>
      </c>
      <c r="H28">
        <f t="shared" si="0"/>
        <v>0</v>
      </c>
    </row>
    <row r="29" ht="15">
      <c r="A29" t="s">
        <v>66</v>
      </c>
    </row>
    <row r="30" spans="5:8" s="34" customFormat="1" ht="15">
      <c r="E30" s="34" t="s">
        <v>181</v>
      </c>
      <c r="F30" s="38">
        <f>+F13</f>
        <v>0.4166666666666667</v>
      </c>
      <c r="G30" s="38" t="s">
        <v>81</v>
      </c>
      <c r="H30" s="34">
        <f>SUM(H5:H29)</f>
        <v>1955</v>
      </c>
    </row>
    <row r="34" spans="1:5" ht="15">
      <c r="A34" s="40"/>
      <c r="B34" s="40" t="s">
        <v>85</v>
      </c>
      <c r="C34" s="41" t="s">
        <v>82</v>
      </c>
      <c r="D34" s="41"/>
      <c r="E34" s="40"/>
    </row>
    <row r="35" spans="1:5" ht="15">
      <c r="A35" s="40" t="s">
        <v>77</v>
      </c>
      <c r="B35" s="40">
        <v>0.15</v>
      </c>
      <c r="C35" s="41">
        <f>1/0.4</f>
        <v>2.5</v>
      </c>
      <c r="D35" s="41"/>
      <c r="E35" s="40"/>
    </row>
    <row r="36" spans="1:5" ht="15">
      <c r="A36" s="40" t="s">
        <v>83</v>
      </c>
      <c r="B36" s="40">
        <v>0.3</v>
      </c>
      <c r="C36" s="41">
        <f>1/0.4*3</f>
        <v>7.5</v>
      </c>
      <c r="D36" s="41"/>
      <c r="E36" s="40"/>
    </row>
    <row r="37" spans="1:5" ht="15">
      <c r="A37" s="40" t="s">
        <v>84</v>
      </c>
      <c r="B37" s="40">
        <v>0.45</v>
      </c>
      <c r="C37" s="41">
        <v>15</v>
      </c>
      <c r="D37" s="41"/>
      <c r="E37" s="40"/>
    </row>
    <row r="38" spans="1:5" ht="15">
      <c r="A38" s="40"/>
      <c r="B38" s="40">
        <v>0.6</v>
      </c>
      <c r="C38" s="41">
        <v>30</v>
      </c>
      <c r="D38" s="41"/>
      <c r="E38" s="40"/>
    </row>
    <row r="39" spans="1:5" ht="15">
      <c r="A39" s="40"/>
      <c r="B39" s="40">
        <v>0.75</v>
      </c>
      <c r="C39" s="41">
        <v>45</v>
      </c>
      <c r="D39" s="41"/>
      <c r="E39" s="40"/>
    </row>
    <row r="41" spans="1:6" ht="15">
      <c r="A41" s="39" t="s">
        <v>207</v>
      </c>
      <c r="C41" s="34" t="s">
        <v>57</v>
      </c>
      <c r="D41"/>
      <c r="E41" s="36"/>
      <c r="F41"/>
    </row>
    <row r="42" ht="15">
      <c r="B42" t="s">
        <v>72</v>
      </c>
    </row>
    <row r="43" spans="1:8" ht="43.5">
      <c r="A43" s="33" t="s">
        <v>72</v>
      </c>
      <c r="B43" s="61">
        <f>'Voorblad-Overzicht'!$C$5</f>
        <v>100</v>
      </c>
      <c r="C43" s="33" t="s">
        <v>75</v>
      </c>
      <c r="D43" s="35" t="s">
        <v>60</v>
      </c>
      <c r="E43" s="33"/>
      <c r="F43" s="37" t="s">
        <v>74</v>
      </c>
      <c r="G43" s="33"/>
      <c r="H43" s="33" t="s">
        <v>76</v>
      </c>
    </row>
    <row r="44" spans="1:8" ht="15">
      <c r="A44" s="33"/>
      <c r="B44" s="33"/>
      <c r="C44" s="33"/>
      <c r="D44" s="35"/>
      <c r="E44" s="33"/>
      <c r="F44" s="37"/>
      <c r="G44" s="33"/>
      <c r="H44" s="33"/>
    </row>
    <row r="46" spans="1:8" ht="15">
      <c r="A46" s="35" t="s">
        <v>55</v>
      </c>
      <c r="B46" s="33">
        <v>15</v>
      </c>
      <c r="C46" s="33"/>
      <c r="D46" s="35"/>
      <c r="E46" s="33"/>
      <c r="F46" s="37"/>
      <c r="G46" s="33"/>
      <c r="H46" s="33"/>
    </row>
    <row r="47" spans="1:8" ht="15">
      <c r="A47" t="s">
        <v>59</v>
      </c>
      <c r="C47">
        <f>eenheidsprijzen!$B$7</f>
        <v>1.55</v>
      </c>
      <c r="D47" s="34">
        <f>+B46*B43</f>
        <v>1500</v>
      </c>
      <c r="H47">
        <f>+D47*C47</f>
        <v>2325</v>
      </c>
    </row>
    <row r="49" spans="1:8" ht="15">
      <c r="A49" s="34" t="s">
        <v>61</v>
      </c>
      <c r="C49">
        <f>eenheidsprijzen!$B$9</f>
        <v>10</v>
      </c>
      <c r="D49" s="34">
        <f>+D47*B50</f>
        <v>26.999999999999996</v>
      </c>
      <c r="H49">
        <f>+D49*C49</f>
        <v>269.99999999999994</v>
      </c>
    </row>
    <row r="50" spans="1:2" ht="15">
      <c r="A50" t="s">
        <v>58</v>
      </c>
      <c r="B50">
        <v>0.018</v>
      </c>
    </row>
    <row r="52" spans="1:6" ht="15">
      <c r="A52" s="34" t="s">
        <v>73</v>
      </c>
      <c r="B52" s="34">
        <f>+(3600/B54)*B53</f>
        <v>1800</v>
      </c>
      <c r="F52" s="36">
        <f>+D47/B52</f>
        <v>0.8333333333333334</v>
      </c>
    </row>
    <row r="53" spans="1:2" ht="15">
      <c r="A53" t="s">
        <v>69</v>
      </c>
      <c r="B53">
        <v>5</v>
      </c>
    </row>
    <row r="54" spans="1:2" ht="15">
      <c r="A54" t="s">
        <v>70</v>
      </c>
      <c r="B54">
        <v>10</v>
      </c>
    </row>
    <row r="56" ht="15">
      <c r="A56" s="34" t="s">
        <v>68</v>
      </c>
    </row>
    <row r="57" spans="1:8" ht="15">
      <c r="A57" t="s">
        <v>67</v>
      </c>
      <c r="B57">
        <v>1</v>
      </c>
      <c r="C57">
        <f>eenheidsprijzen!$B$3</f>
        <v>75</v>
      </c>
      <c r="D57" s="34">
        <v>1</v>
      </c>
      <c r="F57" s="36">
        <f>+F52</f>
        <v>0.8333333333333334</v>
      </c>
      <c r="H57">
        <f>+B57*C57*F57</f>
        <v>62.5</v>
      </c>
    </row>
    <row r="58" spans="1:8" ht="15">
      <c r="A58" t="s">
        <v>71</v>
      </c>
      <c r="B58">
        <v>2</v>
      </c>
      <c r="C58">
        <f>eenheidsprijzen!$B$15</f>
        <v>70</v>
      </c>
      <c r="D58" s="34">
        <v>2</v>
      </c>
      <c r="F58" s="36">
        <f>+F52</f>
        <v>0.8333333333333334</v>
      </c>
      <c r="H58">
        <f>+B58*C58*F58</f>
        <v>116.66666666666667</v>
      </c>
    </row>
    <row r="59" spans="1:8" ht="15">
      <c r="A59" t="s">
        <v>78</v>
      </c>
      <c r="B59">
        <v>5</v>
      </c>
      <c r="C59">
        <f>eenheidsprijzen!$B$4</f>
        <v>35</v>
      </c>
      <c r="D59" s="34">
        <v>5</v>
      </c>
      <c r="F59" s="36">
        <f>+F52</f>
        <v>0.8333333333333334</v>
      </c>
      <c r="H59">
        <f>+B59*C59*F59</f>
        <v>145.83333333333334</v>
      </c>
    </row>
    <row r="61" spans="1:8" ht="15">
      <c r="A61" s="34" t="s">
        <v>64</v>
      </c>
      <c r="B61" s="34"/>
      <c r="C61" s="34"/>
      <c r="E61" s="34"/>
      <c r="F61" s="38"/>
      <c r="G61" s="34"/>
      <c r="H61" s="34"/>
    </row>
    <row r="62" spans="1:8" ht="15">
      <c r="A62" t="s">
        <v>62</v>
      </c>
      <c r="C62">
        <v>0</v>
      </c>
      <c r="F62" s="36">
        <f>+D47/1000</f>
        <v>1.5</v>
      </c>
      <c r="H62">
        <f aca="true" t="shared" si="1" ref="H62:H67">+F62*C62*B62</f>
        <v>0</v>
      </c>
    </row>
    <row r="63" spans="1:8" ht="15">
      <c r="A63" t="s">
        <v>65</v>
      </c>
      <c r="B63">
        <v>15</v>
      </c>
      <c r="C63">
        <f>eenheidsprijzen!$B$4</f>
        <v>35</v>
      </c>
      <c r="F63" s="36">
        <f>$F$23</f>
        <v>0.75</v>
      </c>
      <c r="H63">
        <f t="shared" si="1"/>
        <v>393.75</v>
      </c>
    </row>
    <row r="64" spans="1:8" ht="15">
      <c r="A64" t="s">
        <v>63</v>
      </c>
      <c r="B64">
        <v>1</v>
      </c>
      <c r="C64">
        <f>eenheidsprijzen!$B$17</f>
        <v>60</v>
      </c>
      <c r="F64" s="36">
        <f>$F$23</f>
        <v>0.75</v>
      </c>
      <c r="H64">
        <f t="shared" si="1"/>
        <v>45</v>
      </c>
    </row>
    <row r="65" spans="1:8" ht="15">
      <c r="A65" t="s">
        <v>79</v>
      </c>
      <c r="C65">
        <f>eenheidsprijzen!$B$9</f>
        <v>10</v>
      </c>
      <c r="F65" s="36">
        <f>$F$23</f>
        <v>0.75</v>
      </c>
      <c r="H65">
        <f t="shared" si="1"/>
        <v>0</v>
      </c>
    </row>
    <row r="66" spans="1:8" ht="15">
      <c r="A66" t="s">
        <v>67</v>
      </c>
      <c r="B66">
        <v>1</v>
      </c>
      <c r="C66">
        <f>eenheidsprijzen!$B$3</f>
        <v>75</v>
      </c>
      <c r="F66" s="36">
        <f>$F$23</f>
        <v>0.75</v>
      </c>
      <c r="H66">
        <f t="shared" si="1"/>
        <v>56.25</v>
      </c>
    </row>
    <row r="67" spans="1:8" ht="15">
      <c r="A67" t="s">
        <v>80</v>
      </c>
      <c r="C67">
        <f>eenheidsprijzen!$B$7</f>
        <v>1.55</v>
      </c>
      <c r="F67" s="36">
        <f>$F$23</f>
        <v>0.75</v>
      </c>
      <c r="H67">
        <f t="shared" si="1"/>
        <v>0</v>
      </c>
    </row>
    <row r="68" ht="15">
      <c r="A68" t="s">
        <v>66</v>
      </c>
    </row>
    <row r="69" spans="1:8" ht="15">
      <c r="A69" s="34"/>
      <c r="B69" s="34"/>
      <c r="C69" s="34"/>
      <c r="E69" s="34" t="s">
        <v>181</v>
      </c>
      <c r="F69" s="38">
        <f>+F52</f>
        <v>0.8333333333333334</v>
      </c>
      <c r="G69" s="38" t="s">
        <v>81</v>
      </c>
      <c r="H69" s="34">
        <f>SUM(H44:H68)</f>
        <v>3415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6">
      <selection activeCell="A23" sqref="A23:H28"/>
    </sheetView>
  </sheetViews>
  <sheetFormatPr defaultColWidth="9.00390625" defaultRowHeight="14.25"/>
  <cols>
    <col min="1" max="1" width="36.875" style="0" customWidth="1"/>
    <col min="4" max="4" width="10.25390625" style="34" bestFit="1" customWidth="1"/>
    <col min="6" max="6" width="9.00390625" style="36" customWidth="1"/>
  </cols>
  <sheetData>
    <row r="1" ht="15">
      <c r="A1" t="s">
        <v>87</v>
      </c>
    </row>
    <row r="2" spans="1:6" ht="15">
      <c r="A2" s="39"/>
      <c r="C2" s="34"/>
      <c r="D2"/>
      <c r="E2" s="36"/>
      <c r="F2"/>
    </row>
    <row r="3" ht="15">
      <c r="B3" t="s">
        <v>72</v>
      </c>
    </row>
    <row r="4" spans="1:8" s="33" customFormat="1" ht="43.5">
      <c r="A4" s="33" t="s">
        <v>72</v>
      </c>
      <c r="B4" s="61">
        <f>'Voorblad-Overzicht'!$C$6</f>
        <v>100</v>
      </c>
      <c r="C4" s="33" t="s">
        <v>75</v>
      </c>
      <c r="D4" s="35" t="s">
        <v>60</v>
      </c>
      <c r="F4" s="37" t="s">
        <v>74</v>
      </c>
      <c r="H4" s="33" t="s">
        <v>76</v>
      </c>
    </row>
    <row r="5" spans="4:6" s="33" customFormat="1" ht="15">
      <c r="D5" s="35"/>
      <c r="F5" s="37"/>
    </row>
    <row r="7" spans="1:6" s="33" customFormat="1" ht="15">
      <c r="A7" s="35" t="s">
        <v>86</v>
      </c>
      <c r="B7" s="33">
        <v>1</v>
      </c>
      <c r="D7" s="35"/>
      <c r="F7" s="37"/>
    </row>
    <row r="8" spans="1:8" ht="15">
      <c r="A8" t="s">
        <v>59</v>
      </c>
      <c r="C8" s="45">
        <f>eenheidsprijzen!$B$8</f>
        <v>15</v>
      </c>
      <c r="D8" s="34">
        <f>+B7*B4</f>
        <v>100</v>
      </c>
      <c r="H8">
        <f>+D8*C8</f>
        <v>1500</v>
      </c>
    </row>
    <row r="10" spans="1:8" ht="15">
      <c r="A10" s="34" t="s">
        <v>61</v>
      </c>
      <c r="C10">
        <f>eenheidsprijzen!$B$9</f>
        <v>10</v>
      </c>
      <c r="D10" s="34">
        <f>+D8*B11</f>
        <v>100</v>
      </c>
      <c r="H10">
        <f>+D10*C10</f>
        <v>1000</v>
      </c>
    </row>
    <row r="11" spans="1:2" ht="15">
      <c r="A11" t="s">
        <v>58</v>
      </c>
      <c r="B11">
        <v>1</v>
      </c>
    </row>
    <row r="13" spans="1:6" ht="15">
      <c r="A13" s="34" t="s">
        <v>73</v>
      </c>
      <c r="B13" s="34">
        <f>+(3600/B14)</f>
        <v>72</v>
      </c>
      <c r="F13" s="36">
        <f>+D8/B13</f>
        <v>1.3888888888888888</v>
      </c>
    </row>
    <row r="14" spans="1:2" ht="15">
      <c r="A14" t="s">
        <v>70</v>
      </c>
      <c r="B14">
        <v>50</v>
      </c>
    </row>
    <row r="17" ht="15">
      <c r="A17" s="34" t="s">
        <v>88</v>
      </c>
    </row>
    <row r="18" spans="1:8" ht="15">
      <c r="A18" t="s">
        <v>67</v>
      </c>
      <c r="B18">
        <v>1</v>
      </c>
      <c r="C18">
        <f>eenheidsprijzen!$B$3</f>
        <v>75</v>
      </c>
      <c r="D18" s="34">
        <v>1</v>
      </c>
      <c r="F18" s="36">
        <f>+F13</f>
        <v>1.3888888888888888</v>
      </c>
      <c r="H18">
        <f>+B18*C18*F18</f>
        <v>104.16666666666666</v>
      </c>
    </row>
    <row r="19" spans="1:8" ht="15">
      <c r="A19" t="s">
        <v>89</v>
      </c>
      <c r="B19">
        <v>2</v>
      </c>
      <c r="C19">
        <f>eenheidsprijzen!$B$15</f>
        <v>70</v>
      </c>
      <c r="D19" s="34">
        <v>2</v>
      </c>
      <c r="F19" s="36">
        <f>+F13</f>
        <v>1.3888888888888888</v>
      </c>
      <c r="H19">
        <f>+B19*C19*F19</f>
        <v>194.44444444444443</v>
      </c>
    </row>
    <row r="20" spans="1:8" ht="15">
      <c r="A20" t="s">
        <v>90</v>
      </c>
      <c r="B20">
        <v>3</v>
      </c>
      <c r="C20">
        <f>eenheidsprijzen!$B$4</f>
        <v>35</v>
      </c>
      <c r="D20" s="34">
        <v>5</v>
      </c>
      <c r="F20" s="36">
        <f>+F13</f>
        <v>1.3888888888888888</v>
      </c>
      <c r="H20">
        <f>+B20*C20*F20</f>
        <v>145.83333333333331</v>
      </c>
    </row>
    <row r="21" spans="1:8" ht="15">
      <c r="A21" t="s">
        <v>96</v>
      </c>
      <c r="B21">
        <v>100</v>
      </c>
      <c r="C21">
        <f>eenheidsprijzen!$B$13</f>
        <v>2.6</v>
      </c>
      <c r="H21">
        <f>+B21*C21</f>
        <v>260</v>
      </c>
    </row>
    <row r="23" spans="1:6" s="34" customFormat="1" ht="15">
      <c r="A23" s="34" t="s">
        <v>92</v>
      </c>
      <c r="F23" s="38"/>
    </row>
    <row r="24" spans="1:8" ht="15">
      <c r="A24" t="s">
        <v>91</v>
      </c>
      <c r="B24">
        <v>2</v>
      </c>
      <c r="C24">
        <f>eenheidsprijzen!$B$4</f>
        <v>35</v>
      </c>
      <c r="F24" s="36">
        <f>+D8/60</f>
        <v>1.6666666666666667</v>
      </c>
      <c r="H24">
        <f>+F24*C24*B24</f>
        <v>116.66666666666667</v>
      </c>
    </row>
    <row r="25" spans="1:8" ht="15">
      <c r="A25" t="s">
        <v>79</v>
      </c>
      <c r="F25" s="36">
        <f>$F$24</f>
        <v>1.6666666666666667</v>
      </c>
      <c r="H25">
        <f>+F25*C25*B25</f>
        <v>0</v>
      </c>
    </row>
    <row r="26" spans="1:8" ht="15">
      <c r="A26" t="s">
        <v>93</v>
      </c>
      <c r="B26">
        <v>1</v>
      </c>
      <c r="C26">
        <f>eenheidsprijzen!$B$3</f>
        <v>75</v>
      </c>
      <c r="F26" s="36">
        <f>$F$24</f>
        <v>1.6666666666666667</v>
      </c>
      <c r="H26">
        <f>+F26*C26*B26</f>
        <v>125</v>
      </c>
    </row>
    <row r="27" spans="1:8" ht="15">
      <c r="A27" t="s">
        <v>94</v>
      </c>
      <c r="F27" s="36">
        <f>$F$24</f>
        <v>1.6666666666666667</v>
      </c>
      <c r="H27">
        <f>+F27*C27*B27</f>
        <v>0</v>
      </c>
    </row>
    <row r="29" spans="1:6" s="46" customFormat="1" ht="15">
      <c r="A29" s="46" t="s">
        <v>95</v>
      </c>
      <c r="F29" s="47"/>
    </row>
    <row r="30" spans="1:8" ht="15">
      <c r="A30" t="s">
        <v>72</v>
      </c>
      <c r="B30">
        <v>100</v>
      </c>
      <c r="H30" s="34"/>
    </row>
    <row r="33" spans="1:2" ht="15">
      <c r="A33" t="s">
        <v>55</v>
      </c>
      <c r="B33">
        <v>7.5</v>
      </c>
    </row>
    <row r="34" spans="1:8" ht="15">
      <c r="A34" s="43" t="s">
        <v>59</v>
      </c>
      <c r="B34" s="43"/>
      <c r="C34" s="44">
        <f>eenheidsprijzen!$B$7</f>
        <v>1.55</v>
      </c>
      <c r="D34" s="44">
        <f>+B33*B30</f>
        <v>750</v>
      </c>
      <c r="E34" s="43"/>
      <c r="H34">
        <f>+D34*C34</f>
        <v>1162.5</v>
      </c>
    </row>
    <row r="35" spans="1:5" ht="15">
      <c r="A35" s="43"/>
      <c r="B35" s="43"/>
      <c r="C35" s="44"/>
      <c r="D35" s="44"/>
      <c r="E35" s="43"/>
    </row>
    <row r="36" spans="1:8" ht="15">
      <c r="A36" s="43" t="s">
        <v>61</v>
      </c>
      <c r="B36" s="43"/>
      <c r="C36" s="44">
        <f>eenheidsprijzen!$B$9</f>
        <v>10</v>
      </c>
      <c r="D36" s="44">
        <f>+D34*B37</f>
        <v>13.499999999999998</v>
      </c>
      <c r="E36" s="43"/>
      <c r="H36">
        <f>+D36*C36</f>
        <v>134.99999999999997</v>
      </c>
    </row>
    <row r="37" spans="1:5" ht="15">
      <c r="A37" s="43" t="s">
        <v>58</v>
      </c>
      <c r="B37" s="43">
        <v>0.018</v>
      </c>
      <c r="C37" s="44"/>
      <c r="D37" s="44"/>
      <c r="E37" s="43"/>
    </row>
    <row r="38" spans="1:5" ht="15">
      <c r="A38" s="43"/>
      <c r="B38" s="43"/>
      <c r="C38" s="44"/>
      <c r="D38" s="44"/>
      <c r="E38" s="43"/>
    </row>
    <row r="39" spans="1:6" ht="15">
      <c r="A39" s="43" t="s">
        <v>73</v>
      </c>
      <c r="B39" s="43">
        <f>+(3600/B41)*B40</f>
        <v>1800</v>
      </c>
      <c r="C39" s="44"/>
      <c r="D39" s="44"/>
      <c r="E39" s="43"/>
      <c r="F39" s="36">
        <f>+D34/B39</f>
        <v>0.4166666666666667</v>
      </c>
    </row>
    <row r="40" spans="1:2" ht="15">
      <c r="A40" t="s">
        <v>69</v>
      </c>
      <c r="B40">
        <v>5</v>
      </c>
    </row>
    <row r="41" spans="1:2" ht="15">
      <c r="A41" t="s">
        <v>70</v>
      </c>
      <c r="B41">
        <v>10</v>
      </c>
    </row>
    <row r="43" spans="1:6" s="34" customFormat="1" ht="15">
      <c r="A43" s="34" t="s">
        <v>68</v>
      </c>
      <c r="F43" s="38"/>
    </row>
    <row r="44" spans="1:8" ht="15">
      <c r="A44" t="s">
        <v>67</v>
      </c>
      <c r="B44">
        <v>1</v>
      </c>
      <c r="C44">
        <f>eenheidsprijzen!$B$3</f>
        <v>75</v>
      </c>
      <c r="D44" s="34">
        <v>1</v>
      </c>
      <c r="F44" s="36">
        <f>+F39</f>
        <v>0.4166666666666667</v>
      </c>
      <c r="H44">
        <f>+B44*C44*F44</f>
        <v>31.25</v>
      </c>
    </row>
    <row r="45" spans="1:8" ht="15">
      <c r="A45" t="s">
        <v>71</v>
      </c>
      <c r="B45">
        <v>2</v>
      </c>
      <c r="C45">
        <f>eenheidsprijzen!$B$15</f>
        <v>70</v>
      </c>
      <c r="D45" s="34">
        <v>2</v>
      </c>
      <c r="F45" s="36">
        <f>+F39</f>
        <v>0.4166666666666667</v>
      </c>
      <c r="H45">
        <f>+B45*C45*F45</f>
        <v>58.333333333333336</v>
      </c>
    </row>
    <row r="47" spans="1:6" s="34" customFormat="1" ht="15">
      <c r="A47" s="34" t="s">
        <v>64</v>
      </c>
      <c r="F47" s="38"/>
    </row>
    <row r="48" spans="1:8" ht="15">
      <c r="A48" t="s">
        <v>62</v>
      </c>
      <c r="C48">
        <v>0</v>
      </c>
      <c r="F48" s="36">
        <f>+D34/1000</f>
        <v>0.75</v>
      </c>
      <c r="H48">
        <f aca="true" t="shared" si="0" ref="H48:H53">+F48*C48*B48</f>
        <v>0</v>
      </c>
    </row>
    <row r="49" spans="1:8" ht="15">
      <c r="A49" t="s">
        <v>65</v>
      </c>
      <c r="B49">
        <v>15</v>
      </c>
      <c r="C49">
        <f>eenheidsprijzen!$B$4</f>
        <v>35</v>
      </c>
      <c r="F49" s="36">
        <f>$F$48</f>
        <v>0.75</v>
      </c>
      <c r="H49">
        <f t="shared" si="0"/>
        <v>393.75</v>
      </c>
    </row>
    <row r="50" spans="1:8" ht="15">
      <c r="A50" t="s">
        <v>63</v>
      </c>
      <c r="B50">
        <v>1</v>
      </c>
      <c r="C50">
        <f>eenheidsprijzen!$B$17</f>
        <v>60</v>
      </c>
      <c r="F50" s="36">
        <f>$F$48</f>
        <v>0.75</v>
      </c>
      <c r="H50">
        <f t="shared" si="0"/>
        <v>45</v>
      </c>
    </row>
    <row r="51" spans="1:8" ht="15">
      <c r="A51" t="s">
        <v>79</v>
      </c>
      <c r="C51">
        <f>eenheidsprijzen!$B$9</f>
        <v>10</v>
      </c>
      <c r="F51" s="36">
        <f>$F$48</f>
        <v>0.75</v>
      </c>
      <c r="H51">
        <f t="shared" si="0"/>
        <v>0</v>
      </c>
    </row>
    <row r="52" spans="1:8" ht="15">
      <c r="A52" t="s">
        <v>67</v>
      </c>
      <c r="B52">
        <v>1</v>
      </c>
      <c r="C52">
        <f>eenheidsprijzen!$B$3</f>
        <v>75</v>
      </c>
      <c r="F52" s="36">
        <f>$F$48</f>
        <v>0.75</v>
      </c>
      <c r="H52">
        <f t="shared" si="0"/>
        <v>56.25</v>
      </c>
    </row>
    <row r="53" spans="1:8" ht="15">
      <c r="A53" t="s">
        <v>80</v>
      </c>
      <c r="C53">
        <f>eenheidsprijzen!$B$7</f>
        <v>1.55</v>
      </c>
      <c r="F53" s="36">
        <v>0</v>
      </c>
      <c r="H53">
        <f t="shared" si="0"/>
        <v>0</v>
      </c>
    </row>
    <row r="54" spans="5:8" s="34" customFormat="1" ht="15">
      <c r="E54" s="34" t="s">
        <v>180</v>
      </c>
      <c r="F54" s="38">
        <f>+F24</f>
        <v>1.6666666666666667</v>
      </c>
      <c r="G54" s="34" t="s">
        <v>97</v>
      </c>
      <c r="H54" s="34">
        <f>SUM(H5:H53)</f>
        <v>5328.194444444444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">
      <selection activeCell="D26" sqref="D26"/>
    </sheetView>
  </sheetViews>
  <sheetFormatPr defaultColWidth="9.00390625" defaultRowHeight="14.25"/>
  <cols>
    <col min="1" max="1" width="23.625" style="0" customWidth="1"/>
  </cols>
  <sheetData>
    <row r="1" spans="1:6" ht="14.25">
      <c r="A1" t="s">
        <v>101</v>
      </c>
      <c r="F1" s="36"/>
    </row>
    <row r="2" ht="14.25">
      <c r="E2" s="36"/>
    </row>
    <row r="3" spans="2:6" ht="14.25">
      <c r="B3" t="s">
        <v>72</v>
      </c>
      <c r="F3" s="36"/>
    </row>
    <row r="4" spans="1:8" s="34" customFormat="1" ht="15">
      <c r="A4" s="34" t="s">
        <v>72</v>
      </c>
      <c r="B4" s="62">
        <f>'Voorblad-Overzicht'!$C$7</f>
        <v>100</v>
      </c>
      <c r="C4" s="34" t="s">
        <v>75</v>
      </c>
      <c r="D4" s="34" t="s">
        <v>60</v>
      </c>
      <c r="F4" s="38" t="s">
        <v>74</v>
      </c>
      <c r="H4" s="34" t="s">
        <v>76</v>
      </c>
    </row>
    <row r="5" ht="14.25">
      <c r="F5" s="36"/>
    </row>
    <row r="6" spans="1:10" ht="14.25">
      <c r="A6" s="42"/>
      <c r="B6" s="42"/>
      <c r="C6" s="42"/>
      <c r="D6" s="42"/>
      <c r="E6" s="42"/>
      <c r="F6" s="48"/>
      <c r="G6" s="42"/>
      <c r="H6" s="42"/>
      <c r="I6" s="42"/>
      <c r="J6" s="42"/>
    </row>
    <row r="7" spans="1:10" ht="14.25">
      <c r="A7" s="45" t="s">
        <v>98</v>
      </c>
      <c r="B7" s="45">
        <v>1</v>
      </c>
      <c r="C7" s="45"/>
      <c r="D7" s="45"/>
      <c r="E7" s="45"/>
      <c r="F7" s="49"/>
      <c r="G7" s="45"/>
      <c r="H7" s="45"/>
      <c r="I7" s="42"/>
      <c r="J7" s="42"/>
    </row>
    <row r="8" spans="1:10" ht="14.25">
      <c r="A8" s="45" t="s">
        <v>99</v>
      </c>
      <c r="B8" s="45"/>
      <c r="C8" s="45">
        <f>eenheidsprijzen!$B$11</f>
        <v>6.5</v>
      </c>
      <c r="D8" s="45">
        <f>+B7*B4</f>
        <v>100</v>
      </c>
      <c r="E8" s="45"/>
      <c r="F8" s="49"/>
      <c r="G8" s="45"/>
      <c r="H8" s="45">
        <f>+D8*C8</f>
        <v>650</v>
      </c>
      <c r="I8" s="42"/>
      <c r="J8" s="42"/>
    </row>
    <row r="9" spans="1:10" ht="14.25">
      <c r="A9" s="42"/>
      <c r="B9" s="42"/>
      <c r="C9" s="42"/>
      <c r="D9" s="42"/>
      <c r="E9" s="42"/>
      <c r="F9" s="48"/>
      <c r="G9" s="42"/>
      <c r="H9" s="42"/>
      <c r="I9" s="42"/>
      <c r="J9" s="42"/>
    </row>
    <row r="10" spans="1:10" ht="14.25">
      <c r="A10" s="42"/>
      <c r="B10" s="42"/>
      <c r="C10" s="42"/>
      <c r="D10" s="42"/>
      <c r="E10" s="42"/>
      <c r="F10" s="48"/>
      <c r="G10" s="42"/>
      <c r="H10" s="42"/>
      <c r="I10" s="42"/>
      <c r="J10" s="42"/>
    </row>
    <row r="11" spans="1:6" s="45" customFormat="1" ht="14.25">
      <c r="A11" s="45" t="s">
        <v>100</v>
      </c>
      <c r="B11" s="45">
        <f>+(3600/B12)</f>
        <v>360</v>
      </c>
      <c r="F11" s="49">
        <f>+D8/B11</f>
        <v>0.2777777777777778</v>
      </c>
    </row>
    <row r="12" spans="1:6" s="45" customFormat="1" ht="14.25">
      <c r="A12" s="45" t="s">
        <v>107</v>
      </c>
      <c r="B12" s="45">
        <v>10</v>
      </c>
      <c r="F12" s="49"/>
    </row>
    <row r="13" spans="1:10" ht="14.25">
      <c r="A13" s="42"/>
      <c r="B13" s="42"/>
      <c r="C13" s="42"/>
      <c r="D13" s="42"/>
      <c r="E13" s="42"/>
      <c r="F13" s="48"/>
      <c r="G13" s="42"/>
      <c r="H13" s="42"/>
      <c r="I13" s="42"/>
      <c r="J13" s="42"/>
    </row>
    <row r="14" spans="1:10" ht="15">
      <c r="A14" s="46" t="s">
        <v>105</v>
      </c>
      <c r="B14" s="42"/>
      <c r="C14" s="42"/>
      <c r="D14" s="42"/>
      <c r="E14" s="42"/>
      <c r="F14" s="48"/>
      <c r="G14" s="42"/>
      <c r="H14" s="42"/>
      <c r="I14" s="42"/>
      <c r="J14" s="42"/>
    </row>
    <row r="15" spans="1:6" s="45" customFormat="1" ht="14.25">
      <c r="A15" s="45" t="s">
        <v>102</v>
      </c>
      <c r="F15" s="49"/>
    </row>
    <row r="16" spans="1:8" s="45" customFormat="1" ht="14.25">
      <c r="A16" s="45" t="s">
        <v>67</v>
      </c>
      <c r="B16" s="45">
        <v>1</v>
      </c>
      <c r="C16" s="45">
        <f>eenheidsprijzen!$B$3</f>
        <v>75</v>
      </c>
      <c r="D16" s="45">
        <v>1</v>
      </c>
      <c r="F16" s="49">
        <f>+F11</f>
        <v>0.2777777777777778</v>
      </c>
      <c r="H16" s="45">
        <f>+B16*C16*F16</f>
        <v>20.833333333333336</v>
      </c>
    </row>
    <row r="17" spans="1:8" s="45" customFormat="1" ht="14.25">
      <c r="A17" s="45" t="s">
        <v>103</v>
      </c>
      <c r="B17" s="45">
        <v>1</v>
      </c>
      <c r="C17" s="45">
        <f>eenheidsprijzen!$B$15</f>
        <v>70</v>
      </c>
      <c r="D17" s="45">
        <v>2</v>
      </c>
      <c r="F17" s="49">
        <f>+F11</f>
        <v>0.2777777777777778</v>
      </c>
      <c r="H17" s="45">
        <f>+B17*C17*F17</f>
        <v>19.444444444444446</v>
      </c>
    </row>
    <row r="18" spans="1:8" s="45" customFormat="1" ht="14.25">
      <c r="A18" s="45" t="s">
        <v>90</v>
      </c>
      <c r="B18" s="45">
        <v>3</v>
      </c>
      <c r="C18" s="45">
        <f>eenheidsprijzen!$B$4</f>
        <v>35</v>
      </c>
      <c r="D18" s="45">
        <v>5</v>
      </c>
      <c r="F18" s="49">
        <f>+F11</f>
        <v>0.2777777777777778</v>
      </c>
      <c r="H18" s="45">
        <f>+B18*C18*F18</f>
        <v>29.166666666666668</v>
      </c>
    </row>
    <row r="19" spans="1:8" s="45" customFormat="1" ht="14.25">
      <c r="A19" s="45" t="s">
        <v>104</v>
      </c>
      <c r="B19" s="45">
        <v>100</v>
      </c>
      <c r="C19" s="45">
        <f>eenheidsprijzen!$B$12</f>
        <v>1.6</v>
      </c>
      <c r="F19" s="49"/>
      <c r="H19" s="45">
        <f>+B19*C19</f>
        <v>160</v>
      </c>
    </row>
    <row r="20" s="45" customFormat="1" ht="14.25">
      <c r="F20" s="49"/>
    </row>
    <row r="21" spans="1:10" ht="15" customHeight="1">
      <c r="A21" s="46" t="s">
        <v>106</v>
      </c>
      <c r="B21" s="42"/>
      <c r="C21" s="42"/>
      <c r="D21" s="42"/>
      <c r="E21" s="42"/>
      <c r="F21" s="48"/>
      <c r="G21" s="42"/>
      <c r="H21" s="42"/>
      <c r="I21" s="42"/>
      <c r="J21" s="42"/>
    </row>
    <row r="22" spans="1:6" s="45" customFormat="1" ht="14.25">
      <c r="A22" s="45" t="s">
        <v>95</v>
      </c>
      <c r="F22" s="49"/>
    </row>
    <row r="23" spans="1:6" s="45" customFormat="1" ht="14.25">
      <c r="A23" s="45" t="s">
        <v>72</v>
      </c>
      <c r="B23" s="45">
        <v>100</v>
      </c>
      <c r="F23" s="49"/>
    </row>
    <row r="24" s="45" customFormat="1" ht="14.25">
      <c r="F24" s="49"/>
    </row>
    <row r="25" spans="1:6" s="45" customFormat="1" ht="14.25">
      <c r="A25" s="45" t="s">
        <v>55</v>
      </c>
      <c r="B25" s="45">
        <v>5</v>
      </c>
      <c r="F25" s="49"/>
    </row>
    <row r="26" spans="1:8" s="45" customFormat="1" ht="14.25">
      <c r="A26" s="45" t="s">
        <v>59</v>
      </c>
      <c r="C26" s="45">
        <f>eenheidsprijzen!$B$7</f>
        <v>1.55</v>
      </c>
      <c r="D26" s="45">
        <f>+B25*B23</f>
        <v>500</v>
      </c>
      <c r="F26" s="49"/>
      <c r="H26" s="45">
        <f>+D26*C26</f>
        <v>775</v>
      </c>
    </row>
    <row r="27" spans="1:8" s="45" customFormat="1" ht="14.25">
      <c r="A27" s="45" t="s">
        <v>61</v>
      </c>
      <c r="C27" s="45">
        <f>eenheidsprijzen!$B$9</f>
        <v>10</v>
      </c>
      <c r="D27" s="45">
        <f>+D26*B28</f>
        <v>9</v>
      </c>
      <c r="F27" s="49"/>
      <c r="H27" s="45">
        <f>+D27*C27</f>
        <v>90</v>
      </c>
    </row>
    <row r="28" spans="1:6" s="45" customFormat="1" ht="14.25">
      <c r="A28" s="45" t="s">
        <v>58</v>
      </c>
      <c r="B28" s="45">
        <v>0.018</v>
      </c>
      <c r="F28" s="49"/>
    </row>
    <row r="29" spans="1:10" ht="14.25">
      <c r="A29" s="42"/>
      <c r="B29" s="42"/>
      <c r="C29" s="42"/>
      <c r="D29" s="42"/>
      <c r="E29" s="42"/>
      <c r="F29" s="48"/>
      <c r="G29" s="42"/>
      <c r="H29" s="42"/>
      <c r="I29" s="42"/>
      <c r="J29" s="42"/>
    </row>
    <row r="30" spans="1:6" s="45" customFormat="1" ht="14.25">
      <c r="A30" s="45" t="s">
        <v>73</v>
      </c>
      <c r="B30" s="45">
        <f>+(3600/B32)*B31</f>
        <v>1800</v>
      </c>
      <c r="F30" s="49">
        <f>+D26/B30</f>
        <v>0.2777777777777778</v>
      </c>
    </row>
    <row r="31" spans="1:6" s="45" customFormat="1" ht="14.25">
      <c r="A31" s="45" t="s">
        <v>69</v>
      </c>
      <c r="B31" s="45">
        <v>5</v>
      </c>
      <c r="F31" s="49"/>
    </row>
    <row r="32" spans="1:6" s="45" customFormat="1" ht="14.25">
      <c r="A32" s="45" t="s">
        <v>70</v>
      </c>
      <c r="B32" s="45">
        <v>10</v>
      </c>
      <c r="F32" s="49"/>
    </row>
    <row r="33" spans="1:10" ht="14.25">
      <c r="A33" s="42"/>
      <c r="B33" s="42"/>
      <c r="C33" s="42"/>
      <c r="D33" s="42"/>
      <c r="E33" s="42"/>
      <c r="F33" s="48"/>
      <c r="G33" s="42"/>
      <c r="H33" s="42"/>
      <c r="I33" s="42"/>
      <c r="J33" s="42"/>
    </row>
    <row r="34" spans="1:6" s="46" customFormat="1" ht="15">
      <c r="A34" s="46" t="s">
        <v>68</v>
      </c>
      <c r="F34" s="47"/>
    </row>
    <row r="35" spans="1:8" s="45" customFormat="1" ht="14.25">
      <c r="A35" s="45" t="s">
        <v>67</v>
      </c>
      <c r="B35" s="45">
        <v>1</v>
      </c>
      <c r="C35" s="45">
        <f>eenheidsprijzen!$B$3</f>
        <v>75</v>
      </c>
      <c r="D35" s="45">
        <v>1</v>
      </c>
      <c r="F35" s="49">
        <f>+F30</f>
        <v>0.2777777777777778</v>
      </c>
      <c r="H35" s="45">
        <f>+B35*C35*F35</f>
        <v>20.833333333333336</v>
      </c>
    </row>
    <row r="36" spans="1:8" s="45" customFormat="1" ht="14.25" customHeight="1">
      <c r="A36" s="45" t="s">
        <v>71</v>
      </c>
      <c r="B36" s="45">
        <v>2</v>
      </c>
      <c r="C36" s="45">
        <f>eenheidsprijzen!$B$15</f>
        <v>70</v>
      </c>
      <c r="D36" s="45">
        <v>2</v>
      </c>
      <c r="F36" s="49">
        <f>+F30</f>
        <v>0.2777777777777778</v>
      </c>
      <c r="H36" s="45">
        <f>+B36*C36*F36</f>
        <v>38.88888888888889</v>
      </c>
    </row>
    <row r="37" spans="1:10" ht="13.5" customHeight="1">
      <c r="A37" s="42"/>
      <c r="B37" s="42"/>
      <c r="C37" s="42"/>
      <c r="D37" s="42"/>
      <c r="E37" s="42"/>
      <c r="F37" s="48"/>
      <c r="G37" s="42"/>
      <c r="H37" s="42"/>
      <c r="I37" s="42"/>
      <c r="J37" s="42"/>
    </row>
    <row r="38" spans="1:6" s="46" customFormat="1" ht="13.5" customHeight="1">
      <c r="A38" s="46" t="s">
        <v>64</v>
      </c>
      <c r="F38" s="47"/>
    </row>
    <row r="39" spans="1:8" s="45" customFormat="1" ht="13.5" customHeight="1">
      <c r="A39" s="45" t="s">
        <v>62</v>
      </c>
      <c r="C39" s="45">
        <v>0</v>
      </c>
      <c r="F39" s="49">
        <f>+D26/1000</f>
        <v>0.5</v>
      </c>
      <c r="H39" s="45">
        <f aca="true" t="shared" si="0" ref="H39:H44">+F39*C39*B39</f>
        <v>0</v>
      </c>
    </row>
    <row r="40" spans="1:8" s="45" customFormat="1" ht="13.5" customHeight="1">
      <c r="A40" s="45" t="s">
        <v>65</v>
      </c>
      <c r="B40" s="45">
        <v>15</v>
      </c>
      <c r="C40" s="45">
        <f>eenheidsprijzen!$B$4</f>
        <v>35</v>
      </c>
      <c r="F40" s="49">
        <f>$F$39</f>
        <v>0.5</v>
      </c>
      <c r="H40" s="45">
        <f t="shared" si="0"/>
        <v>262.5</v>
      </c>
    </row>
    <row r="41" spans="1:8" s="45" customFormat="1" ht="13.5" customHeight="1">
      <c r="A41" s="45" t="s">
        <v>63</v>
      </c>
      <c r="B41" s="45">
        <v>1</v>
      </c>
      <c r="C41" s="45">
        <f>eenheidsprijzen!$B$17</f>
        <v>60</v>
      </c>
      <c r="F41" s="49">
        <f>$F$39</f>
        <v>0.5</v>
      </c>
      <c r="H41" s="45">
        <f t="shared" si="0"/>
        <v>30</v>
      </c>
    </row>
    <row r="42" spans="1:8" s="45" customFormat="1" ht="14.25">
      <c r="A42" s="45" t="s">
        <v>79</v>
      </c>
      <c r="C42" s="45">
        <f>eenheidsprijzen!$B$9</f>
        <v>10</v>
      </c>
      <c r="F42" s="49">
        <f>$F$39</f>
        <v>0.5</v>
      </c>
      <c r="H42" s="45">
        <f t="shared" si="0"/>
        <v>0</v>
      </c>
    </row>
    <row r="43" spans="1:8" s="45" customFormat="1" ht="14.25">
      <c r="A43" s="45" t="s">
        <v>67</v>
      </c>
      <c r="B43" s="45">
        <v>1</v>
      </c>
      <c r="C43" s="45">
        <f>eenheidsprijzen!$B$3</f>
        <v>75</v>
      </c>
      <c r="F43" s="49">
        <f>$F$39</f>
        <v>0.5</v>
      </c>
      <c r="H43" s="45">
        <f t="shared" si="0"/>
        <v>37.5</v>
      </c>
    </row>
    <row r="44" spans="1:8" s="45" customFormat="1" ht="14.25">
      <c r="A44" s="45" t="s">
        <v>80</v>
      </c>
      <c r="C44" s="45">
        <f>eenheidsprijzen!$B$7</f>
        <v>1.55</v>
      </c>
      <c r="F44" s="49">
        <v>0</v>
      </c>
      <c r="H44" s="45">
        <f t="shared" si="0"/>
        <v>0</v>
      </c>
    </row>
    <row r="45" spans="5:8" s="46" customFormat="1" ht="15">
      <c r="E45" s="46" t="s">
        <v>180</v>
      </c>
      <c r="F45" s="47">
        <f>+F11+F30</f>
        <v>0.5555555555555556</v>
      </c>
      <c r="G45" s="46" t="s">
        <v>97</v>
      </c>
      <c r="H45" s="46">
        <f>SUM(H5:H44)</f>
        <v>2134.1666666666665</v>
      </c>
    </row>
    <row r="46" s="45" customFormat="1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37.375" style="33" customWidth="1"/>
  </cols>
  <sheetData>
    <row r="1" ht="42.75">
      <c r="A1" s="33" t="s">
        <v>111</v>
      </c>
    </row>
    <row r="2" ht="28.5">
      <c r="A2" s="33" t="s">
        <v>164</v>
      </c>
    </row>
    <row r="3" spans="2:6" ht="14.25">
      <c r="B3" t="s">
        <v>72</v>
      </c>
      <c r="F3" s="36"/>
    </row>
    <row r="4" spans="1:8" ht="14.25">
      <c r="A4" s="33" t="s">
        <v>72</v>
      </c>
      <c r="B4">
        <f>'Voorblad-Overzicht'!$C$8</f>
        <v>100</v>
      </c>
      <c r="C4" t="s">
        <v>75</v>
      </c>
      <c r="D4" t="s">
        <v>60</v>
      </c>
      <c r="F4" s="36" t="s">
        <v>74</v>
      </c>
      <c r="H4" t="s">
        <v>76</v>
      </c>
    </row>
    <row r="5" spans="1:6" ht="15">
      <c r="A5" s="35" t="s">
        <v>108</v>
      </c>
      <c r="F5" s="36"/>
    </row>
    <row r="6" spans="1:6" ht="14.25">
      <c r="A6" s="33" t="s">
        <v>183</v>
      </c>
      <c r="C6">
        <v>0.95</v>
      </c>
      <c r="F6" s="36"/>
    </row>
    <row r="7" spans="1:6" ht="14.25">
      <c r="A7" s="33" t="s">
        <v>182</v>
      </c>
      <c r="B7">
        <v>15</v>
      </c>
      <c r="F7" s="36"/>
    </row>
    <row r="8" spans="1:8" ht="14.25">
      <c r="A8" s="33" t="s">
        <v>184</v>
      </c>
      <c r="B8">
        <v>90</v>
      </c>
      <c r="D8">
        <f>+B7*B4/(B8/100)</f>
        <v>1666.6666666666665</v>
      </c>
      <c r="F8" s="36"/>
      <c r="H8">
        <f>+D8*C6</f>
        <v>1583.333333333333</v>
      </c>
    </row>
    <row r="9" spans="1:6" ht="14.25">
      <c r="A9" s="33" t="s">
        <v>110</v>
      </c>
      <c r="B9">
        <f>+B10/100</f>
        <v>0.42</v>
      </c>
      <c r="F9" s="36"/>
    </row>
    <row r="10" spans="1:6" ht="14.25">
      <c r="A10" s="33" t="s">
        <v>109</v>
      </c>
      <c r="B10">
        <v>42</v>
      </c>
      <c r="D10">
        <f>+B4*B7/40/(B8/100)</f>
        <v>41.666666666666664</v>
      </c>
      <c r="F10" s="36"/>
    </row>
    <row r="11" spans="1:6" ht="14.25">
      <c r="A11" s="33" t="s">
        <v>115</v>
      </c>
      <c r="B11">
        <f>+(3600/B12)</f>
        <v>10.909090909090908</v>
      </c>
      <c r="F11" s="36">
        <f>+D10/B11</f>
        <v>3.8194444444444446</v>
      </c>
    </row>
    <row r="12" spans="1:6" s="51" customFormat="1" ht="14.25">
      <c r="A12" s="50" t="s">
        <v>114</v>
      </c>
      <c r="B12" s="51">
        <v>330</v>
      </c>
      <c r="F12" s="52"/>
    </row>
    <row r="13" spans="1:6" s="34" customFormat="1" ht="15">
      <c r="A13" s="35"/>
      <c r="F13" s="38"/>
    </row>
    <row r="14" spans="1:6" s="34" customFormat="1" ht="15">
      <c r="A14" s="35" t="s">
        <v>116</v>
      </c>
      <c r="F14" s="38"/>
    </row>
    <row r="15" spans="1:8" ht="28.5">
      <c r="A15" s="33" t="s">
        <v>112</v>
      </c>
      <c r="B15">
        <v>0</v>
      </c>
      <c r="C15">
        <f>eenheidsprijzen!$B$15</f>
        <v>70</v>
      </c>
      <c r="D15">
        <v>2</v>
      </c>
      <c r="F15" s="36">
        <f>+F11</f>
        <v>3.8194444444444446</v>
      </c>
      <c r="H15">
        <f>+B15*C15*F15</f>
        <v>0</v>
      </c>
    </row>
    <row r="16" spans="1:8" ht="28.5">
      <c r="A16" s="33" t="s">
        <v>113</v>
      </c>
      <c r="B16">
        <v>6</v>
      </c>
      <c r="C16">
        <f>eenheidsprijzen!$B$4</f>
        <v>35</v>
      </c>
      <c r="D16">
        <v>5</v>
      </c>
      <c r="F16" s="36">
        <f>+F11</f>
        <v>3.8194444444444446</v>
      </c>
      <c r="H16">
        <f>+B16*C16*F16</f>
        <v>802.0833333333334</v>
      </c>
    </row>
    <row r="17" spans="1:8" ht="14.25">
      <c r="A17" s="33" t="s">
        <v>117</v>
      </c>
      <c r="B17">
        <v>11</v>
      </c>
      <c r="C17">
        <f>eenheidsprijzen!$B$19</f>
        <v>0.8</v>
      </c>
      <c r="D17">
        <f>+B17*B4</f>
        <v>1100</v>
      </c>
      <c r="F17" s="36"/>
      <c r="H17">
        <f>+D17*C17</f>
        <v>880</v>
      </c>
    </row>
    <row r="18" ht="14.25">
      <c r="F18" s="36"/>
    </row>
    <row r="19" spans="1:6" s="34" customFormat="1" ht="15">
      <c r="A19" s="35" t="s">
        <v>95</v>
      </c>
      <c r="F19" s="38"/>
    </row>
    <row r="20" ht="14.25">
      <c r="F20" s="36"/>
    </row>
    <row r="21" spans="1:6" ht="14.25">
      <c r="A21" s="33" t="s">
        <v>55</v>
      </c>
      <c r="B21">
        <v>7.5</v>
      </c>
      <c r="F21" s="36"/>
    </row>
    <row r="22" spans="1:8" ht="14.25">
      <c r="A22" s="33" t="s">
        <v>59</v>
      </c>
      <c r="C22">
        <f>eenheidsprijzen!$B$7</f>
        <v>1.55</v>
      </c>
      <c r="D22">
        <f>+B21*B4</f>
        <v>750</v>
      </c>
      <c r="F22" s="36"/>
      <c r="H22">
        <f>+D22*C22</f>
        <v>1162.5</v>
      </c>
    </row>
    <row r="23" ht="14.25">
      <c r="F23" s="36"/>
    </row>
    <row r="24" spans="1:8" ht="14.25">
      <c r="A24" s="33" t="s">
        <v>61</v>
      </c>
      <c r="C24">
        <f>eenheidsprijzen!$B$9</f>
        <v>10</v>
      </c>
      <c r="D24">
        <f>+D22*B25</f>
        <v>13.499999999999998</v>
      </c>
      <c r="F24" s="36"/>
      <c r="H24">
        <f>+D24*C24</f>
        <v>134.99999999999997</v>
      </c>
    </row>
    <row r="25" spans="1:6" ht="14.25">
      <c r="A25" s="33" t="s">
        <v>58</v>
      </c>
      <c r="B25">
        <v>0.018</v>
      </c>
      <c r="F25" s="36"/>
    </row>
    <row r="26" ht="14.25">
      <c r="F26" s="36"/>
    </row>
    <row r="27" spans="1:6" ht="14.25">
      <c r="A27" s="33" t="s">
        <v>73</v>
      </c>
      <c r="B27">
        <f>+(3600/B29)*B28</f>
        <v>900</v>
      </c>
      <c r="F27" s="36">
        <f>+D22/B27</f>
        <v>0.8333333333333334</v>
      </c>
    </row>
    <row r="28" spans="1:6" ht="14.25">
      <c r="A28" s="33" t="s">
        <v>69</v>
      </c>
      <c r="B28">
        <v>5</v>
      </c>
      <c r="F28" s="36"/>
    </row>
    <row r="29" spans="1:6" ht="14.25">
      <c r="A29" s="33" t="s">
        <v>70</v>
      </c>
      <c r="B29">
        <v>20</v>
      </c>
      <c r="F29" s="36"/>
    </row>
    <row r="30" ht="14.25">
      <c r="F30" s="36"/>
    </row>
    <row r="31" spans="1:6" ht="30">
      <c r="A31" s="35" t="s">
        <v>68</v>
      </c>
      <c r="F31" s="36"/>
    </row>
    <row r="32" spans="1:8" ht="14.25">
      <c r="A32" s="33" t="s">
        <v>67</v>
      </c>
      <c r="B32">
        <v>1</v>
      </c>
      <c r="C32">
        <f>eenheidsprijzen!$B$3</f>
        <v>75</v>
      </c>
      <c r="D32">
        <v>1</v>
      </c>
      <c r="F32" s="36">
        <f>+F27</f>
        <v>0.8333333333333334</v>
      </c>
      <c r="H32">
        <f>+B32*C32*F32</f>
        <v>62.5</v>
      </c>
    </row>
    <row r="33" spans="1:8" ht="28.5">
      <c r="A33" s="33" t="s">
        <v>71</v>
      </c>
      <c r="B33">
        <v>2</v>
      </c>
      <c r="C33">
        <f>eenheidsprijzen!$B$15</f>
        <v>70</v>
      </c>
      <c r="D33">
        <v>2</v>
      </c>
      <c r="F33" s="36">
        <f>+F27</f>
        <v>0.8333333333333334</v>
      </c>
      <c r="H33">
        <f>+B33*C33*F33</f>
        <v>116.66666666666667</v>
      </c>
    </row>
    <row r="34" ht="14.25">
      <c r="F34" s="36"/>
    </row>
    <row r="35" spans="1:6" ht="14.25">
      <c r="A35" s="33" t="s">
        <v>64</v>
      </c>
      <c r="F35" s="36"/>
    </row>
    <row r="36" spans="1:8" ht="14.25">
      <c r="A36" s="33" t="s">
        <v>62</v>
      </c>
      <c r="C36">
        <v>0</v>
      </c>
      <c r="F36" s="36">
        <f>+D22/1000</f>
        <v>0.75</v>
      </c>
      <c r="H36">
        <f aca="true" t="shared" si="0" ref="H36:H41">+F36*C36*B36</f>
        <v>0</v>
      </c>
    </row>
    <row r="37" spans="1:8" ht="14.25">
      <c r="A37" s="33" t="s">
        <v>65</v>
      </c>
      <c r="B37">
        <v>15</v>
      </c>
      <c r="C37">
        <f>eenheidsprijzen!$B$4</f>
        <v>35</v>
      </c>
      <c r="F37" s="36">
        <f>+D22/1000</f>
        <v>0.75</v>
      </c>
      <c r="H37">
        <f t="shared" si="0"/>
        <v>393.75</v>
      </c>
    </row>
    <row r="38" spans="1:8" ht="14.25">
      <c r="A38" s="33" t="s">
        <v>63</v>
      </c>
      <c r="B38">
        <v>1</v>
      </c>
      <c r="C38">
        <f>eenheidsprijzen!$B$17</f>
        <v>60</v>
      </c>
      <c r="F38" s="36">
        <f>+D22/1000</f>
        <v>0.75</v>
      </c>
      <c r="H38">
        <f t="shared" si="0"/>
        <v>45</v>
      </c>
    </row>
    <row r="39" spans="1:8" ht="14.25">
      <c r="A39" s="33" t="s">
        <v>79</v>
      </c>
      <c r="C39">
        <f>eenheidsprijzen!$B$9</f>
        <v>10</v>
      </c>
      <c r="F39" s="36">
        <f>+D22/1000</f>
        <v>0.75</v>
      </c>
      <c r="H39">
        <f t="shared" si="0"/>
        <v>0</v>
      </c>
    </row>
    <row r="40" spans="1:8" ht="14.25">
      <c r="A40" s="33" t="s">
        <v>67</v>
      </c>
      <c r="B40">
        <v>1</v>
      </c>
      <c r="C40">
        <f>eenheidsprijzen!$B$3</f>
        <v>75</v>
      </c>
      <c r="F40" s="36">
        <f>+D22/1000</f>
        <v>0.75</v>
      </c>
      <c r="H40">
        <f t="shared" si="0"/>
        <v>56.25</v>
      </c>
    </row>
    <row r="41" spans="1:8" ht="28.5">
      <c r="A41" s="33" t="s">
        <v>80</v>
      </c>
      <c r="C41">
        <f>eenheidsprijzen!$B$7</f>
        <v>1.55</v>
      </c>
      <c r="F41" s="36">
        <f>+D27/1000</f>
        <v>0</v>
      </c>
      <c r="H41">
        <f t="shared" si="0"/>
        <v>0</v>
      </c>
    </row>
    <row r="42" spans="1:8" s="34" customFormat="1" ht="15">
      <c r="A42" s="35"/>
      <c r="E42" s="34" t="s">
        <v>180</v>
      </c>
      <c r="F42" s="38">
        <f>+F27</f>
        <v>0.8333333333333334</v>
      </c>
      <c r="G42" s="34" t="s">
        <v>97</v>
      </c>
      <c r="H42" s="34">
        <f>SUM(H6:H41)</f>
        <v>5237.083333333333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8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38.25390625" style="0" customWidth="1"/>
    <col min="2" max="2" width="14.125" style="0" customWidth="1"/>
    <col min="9" max="9" width="9.00390625" style="36" customWidth="1"/>
  </cols>
  <sheetData>
    <row r="1" ht="14.25"/>
    <row r="2" ht="14.25"/>
    <row r="3" spans="1:9" s="33" customFormat="1" ht="42.75">
      <c r="A3" s="33" t="s">
        <v>72</v>
      </c>
      <c r="C3" s="35">
        <f>'Voorblad-Overzicht'!$C$10</f>
        <v>50</v>
      </c>
      <c r="D3" s="33" t="s">
        <v>75</v>
      </c>
      <c r="E3" s="35" t="s">
        <v>60</v>
      </c>
      <c r="G3" s="37" t="s">
        <v>74</v>
      </c>
      <c r="I3" s="37" t="s">
        <v>76</v>
      </c>
    </row>
    <row r="4" ht="15">
      <c r="A4" s="34" t="s">
        <v>123</v>
      </c>
    </row>
    <row r="5" spans="1:2" ht="14.25">
      <c r="A5" t="s">
        <v>118</v>
      </c>
      <c r="B5">
        <v>10</v>
      </c>
    </row>
    <row r="6" spans="1:2" ht="14.25">
      <c r="A6" t="s">
        <v>119</v>
      </c>
      <c r="B6">
        <v>1</v>
      </c>
    </row>
    <row r="7" spans="1:9" ht="14.25">
      <c r="A7" t="s">
        <v>143</v>
      </c>
      <c r="B7">
        <f>+B5*B6</f>
        <v>10</v>
      </c>
      <c r="D7">
        <f>eenheidsprijzen!$B$9</f>
        <v>10</v>
      </c>
      <c r="E7">
        <f>+B7*C3</f>
        <v>500</v>
      </c>
      <c r="I7" s="36">
        <f>+D7*E7</f>
        <v>5000</v>
      </c>
    </row>
    <row r="8" ht="14.25"/>
    <row r="9" spans="1:7" ht="14.25">
      <c r="A9" t="s">
        <v>121</v>
      </c>
      <c r="B9">
        <v>2000</v>
      </c>
      <c r="G9">
        <f>+B5*B6*C3/B9*8</f>
        <v>2</v>
      </c>
    </row>
    <row r="10" spans="1:9" ht="14.25">
      <c r="A10" t="s">
        <v>120</v>
      </c>
      <c r="B10">
        <v>1</v>
      </c>
      <c r="D10">
        <f>eenheidsprijzen!$B$3</f>
        <v>75</v>
      </c>
      <c r="I10" s="36">
        <f>+(B10*G9*D10)</f>
        <v>150</v>
      </c>
    </row>
    <row r="11" spans="1:9" ht="14.25">
      <c r="A11" t="s">
        <v>122</v>
      </c>
      <c r="B11" s="53">
        <f>+(B9/15)*(50/60)/8</f>
        <v>13.888888888888891</v>
      </c>
      <c r="D11">
        <f>eenheidsprijzen!$B$2</f>
        <v>75</v>
      </c>
      <c r="I11" s="36">
        <f>+(B11*G9*D11)</f>
        <v>2083.3333333333335</v>
      </c>
    </row>
    <row r="12" spans="1:9" ht="14.25">
      <c r="A12" t="s">
        <v>127</v>
      </c>
      <c r="B12">
        <v>1</v>
      </c>
      <c r="D12">
        <f>eenheidsprijzen!$B$5</f>
        <v>0.4</v>
      </c>
      <c r="E12">
        <f>+B12*B5*C3</f>
        <v>500</v>
      </c>
      <c r="I12" s="36">
        <f>+D12*E12</f>
        <v>200</v>
      </c>
    </row>
    <row r="13" spans="1:9" ht="14.25">
      <c r="A13" t="s">
        <v>128</v>
      </c>
      <c r="B13">
        <v>1</v>
      </c>
      <c r="D13">
        <f>eenheidsprijzen!$B$4</f>
        <v>35</v>
      </c>
      <c r="I13" s="36">
        <f>+G9*B13*D13</f>
        <v>70</v>
      </c>
    </row>
    <row r="14" spans="6:9" s="34" customFormat="1" ht="15">
      <c r="F14" s="34" t="s">
        <v>180</v>
      </c>
      <c r="G14" s="34">
        <f>+G9</f>
        <v>2</v>
      </c>
      <c r="I14" s="38">
        <f>SUM(I10:I13)</f>
        <v>2503.3333333333335</v>
      </c>
    </row>
    <row r="16" spans="1:3" ht="15">
      <c r="A16" t="s">
        <v>248</v>
      </c>
      <c r="C16" s="34">
        <f>'Voorblad-Overzicht'!$C$11</f>
        <v>50</v>
      </c>
    </row>
    <row r="17" ht="15">
      <c r="A17" s="34" t="s">
        <v>157</v>
      </c>
    </row>
    <row r="18" spans="1:9" s="51" customFormat="1" ht="14.25">
      <c r="A18" s="51" t="s">
        <v>118</v>
      </c>
      <c r="B18" s="51">
        <v>10</v>
      </c>
      <c r="I18" s="52"/>
    </row>
    <row r="19" spans="1:9" s="51" customFormat="1" ht="14.25">
      <c r="A19" s="51" t="s">
        <v>119</v>
      </c>
      <c r="B19" s="51">
        <v>1</v>
      </c>
      <c r="I19" s="52"/>
    </row>
    <row r="20" spans="1:9" s="51" customFormat="1" ht="14.25">
      <c r="A20" s="51" t="s">
        <v>143</v>
      </c>
      <c r="B20" s="51">
        <v>10</v>
      </c>
      <c r="D20" s="51">
        <f>eenheidsprijzen!$B$9</f>
        <v>10</v>
      </c>
      <c r="E20" s="51">
        <f>+B18*B19*C16</f>
        <v>500</v>
      </c>
      <c r="I20" s="52">
        <f>+D20*E20</f>
        <v>5000</v>
      </c>
    </row>
    <row r="21" spans="1:7" ht="14.25">
      <c r="A21" t="s">
        <v>121</v>
      </c>
      <c r="B21">
        <v>1000</v>
      </c>
      <c r="G21">
        <f>+(C16*B5*B6)/B21*8</f>
        <v>4</v>
      </c>
    </row>
    <row r="22" spans="1:9" ht="14.25">
      <c r="A22" t="s">
        <v>126</v>
      </c>
      <c r="B22">
        <v>1</v>
      </c>
      <c r="D22">
        <f>eenheidsprijzen!$B$3</f>
        <v>75</v>
      </c>
      <c r="I22" s="36">
        <f>+(B22*G21*D22)</f>
        <v>300</v>
      </c>
    </row>
    <row r="23" spans="1:9" ht="14.25">
      <c r="A23" t="s">
        <v>122</v>
      </c>
      <c r="B23" s="53">
        <f>+(B21/15)*(50/60)/8</f>
        <v>6.9444444444444455</v>
      </c>
      <c r="D23">
        <f>eenheidsprijzen!$B$2</f>
        <v>75</v>
      </c>
      <c r="I23" s="36">
        <f>+(B23*G21*D23)</f>
        <v>2083.3333333333335</v>
      </c>
    </row>
    <row r="24" spans="1:9" ht="14.25">
      <c r="A24" t="s">
        <v>124</v>
      </c>
      <c r="B24">
        <v>70</v>
      </c>
      <c r="D24">
        <f>eenheidsprijzen!$B$6</f>
        <v>5</v>
      </c>
      <c r="I24" s="36">
        <f>+B24*D24</f>
        <v>350</v>
      </c>
    </row>
    <row r="25" spans="1:9" ht="14.25">
      <c r="A25" t="s">
        <v>125</v>
      </c>
      <c r="B25">
        <v>1</v>
      </c>
      <c r="D25">
        <f>eenheidsprijzen!$B$3</f>
        <v>75</v>
      </c>
      <c r="I25" s="36">
        <f>+B25*D25*G21</f>
        <v>300</v>
      </c>
    </row>
    <row r="26" spans="1:9" ht="14.25">
      <c r="A26" t="s">
        <v>127</v>
      </c>
      <c r="B26">
        <v>1</v>
      </c>
      <c r="D26">
        <f>eenheidsprijzen!$B$5</f>
        <v>0.4</v>
      </c>
      <c r="E26">
        <f>+B26*B5*C16</f>
        <v>500</v>
      </c>
      <c r="I26" s="36">
        <f>+E26*D26</f>
        <v>200</v>
      </c>
    </row>
    <row r="27" spans="1:9" ht="14.25">
      <c r="A27" t="s">
        <v>128</v>
      </c>
      <c r="B27">
        <v>1</v>
      </c>
      <c r="D27">
        <f>eenheidsprijzen!$B$4</f>
        <v>35</v>
      </c>
      <c r="I27" s="36">
        <f>+D27*G21</f>
        <v>140</v>
      </c>
    </row>
    <row r="28" spans="6:9" s="34" customFormat="1" ht="15">
      <c r="F28" s="34" t="s">
        <v>180</v>
      </c>
      <c r="G28" s="34">
        <f>+G21</f>
        <v>4</v>
      </c>
      <c r="I28" s="38">
        <f>SUM(I22:I27)</f>
        <v>3373.3333333333335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8" sqref="A28:IV28"/>
    </sheetView>
  </sheetViews>
  <sheetFormatPr defaultColWidth="9.00390625" defaultRowHeight="14.25"/>
  <cols>
    <col min="1" max="1" width="23.50390625" style="0" customWidth="1"/>
  </cols>
  <sheetData>
    <row r="1" spans="2:3" ht="14.25">
      <c r="B1" t="s">
        <v>152</v>
      </c>
      <c r="C1" t="s">
        <v>138</v>
      </c>
    </row>
    <row r="2" spans="1:3" ht="14.25">
      <c r="A2" t="s">
        <v>129</v>
      </c>
      <c r="B2">
        <v>75</v>
      </c>
      <c r="C2" t="s">
        <v>140</v>
      </c>
    </row>
    <row r="3" spans="1:3" ht="14.25">
      <c r="A3" t="s">
        <v>120</v>
      </c>
      <c r="B3">
        <v>75</v>
      </c>
      <c r="C3" t="s">
        <v>140</v>
      </c>
    </row>
    <row r="4" spans="1:3" ht="14.25">
      <c r="A4" t="s">
        <v>130</v>
      </c>
      <c r="B4">
        <v>35</v>
      </c>
      <c r="C4" t="s">
        <v>140</v>
      </c>
    </row>
    <row r="5" spans="1:3" ht="14.25">
      <c r="A5" t="s">
        <v>131</v>
      </c>
      <c r="B5">
        <v>0.4</v>
      </c>
      <c r="C5" t="s">
        <v>139</v>
      </c>
    </row>
    <row r="6" spans="1:3" ht="14.25">
      <c r="A6" t="s">
        <v>124</v>
      </c>
      <c r="B6">
        <v>5</v>
      </c>
      <c r="C6" t="s">
        <v>141</v>
      </c>
    </row>
    <row r="7" spans="1:3" ht="14.25">
      <c r="A7" t="s">
        <v>150</v>
      </c>
      <c r="B7">
        <v>1.55</v>
      </c>
      <c r="C7" t="s">
        <v>151</v>
      </c>
    </row>
    <row r="8" spans="1:3" ht="14.25">
      <c r="A8" t="s">
        <v>132</v>
      </c>
      <c r="B8">
        <v>15</v>
      </c>
      <c r="C8" t="s">
        <v>151</v>
      </c>
    </row>
    <row r="9" spans="1:3" ht="14.25">
      <c r="A9" t="s">
        <v>133</v>
      </c>
      <c r="B9">
        <v>10</v>
      </c>
      <c r="C9" t="s">
        <v>142</v>
      </c>
    </row>
    <row r="10" spans="1:3" ht="14.25">
      <c r="A10" t="s">
        <v>165</v>
      </c>
      <c r="B10">
        <v>0.95</v>
      </c>
      <c r="C10" t="s">
        <v>139</v>
      </c>
    </row>
    <row r="11" spans="1:3" ht="14.25">
      <c r="A11" t="s">
        <v>134</v>
      </c>
      <c r="B11">
        <v>6.5</v>
      </c>
      <c r="C11" t="s">
        <v>151</v>
      </c>
    </row>
    <row r="12" spans="1:3" ht="14.25">
      <c r="A12" t="s">
        <v>163</v>
      </c>
      <c r="B12">
        <v>1.6</v>
      </c>
      <c r="C12" t="s">
        <v>162</v>
      </c>
    </row>
    <row r="13" spans="1:3" ht="14.25">
      <c r="A13" t="s">
        <v>161</v>
      </c>
      <c r="B13">
        <v>2.6</v>
      </c>
      <c r="C13" t="s">
        <v>162</v>
      </c>
    </row>
    <row r="14" spans="1:3" ht="14.25">
      <c r="A14" t="s">
        <v>135</v>
      </c>
      <c r="B14">
        <v>70</v>
      </c>
      <c r="C14" t="s">
        <v>140</v>
      </c>
    </row>
    <row r="15" spans="1:3" ht="14.25">
      <c r="A15" t="s">
        <v>136</v>
      </c>
      <c r="B15">
        <v>70</v>
      </c>
      <c r="C15" t="s">
        <v>140</v>
      </c>
    </row>
    <row r="16" ht="14.25">
      <c r="A16" t="s">
        <v>66</v>
      </c>
    </row>
    <row r="17" spans="1:3" ht="14.25">
      <c r="A17" t="s">
        <v>63</v>
      </c>
      <c r="B17">
        <v>60</v>
      </c>
      <c r="C17" t="s">
        <v>140</v>
      </c>
    </row>
    <row r="18" spans="1:3" ht="14.25">
      <c r="A18" t="s">
        <v>137</v>
      </c>
      <c r="B18">
        <v>0.3</v>
      </c>
      <c r="C18" t="s">
        <v>151</v>
      </c>
    </row>
    <row r="19" spans="1:3" ht="14.25">
      <c r="A19" t="s">
        <v>117</v>
      </c>
      <c r="B19">
        <v>0.8</v>
      </c>
      <c r="C19" t="s">
        <v>151</v>
      </c>
    </row>
    <row r="20" spans="1:3" ht="14.25">
      <c r="A20" t="s">
        <v>168</v>
      </c>
      <c r="B20">
        <v>25</v>
      </c>
      <c r="C20" t="s">
        <v>176</v>
      </c>
    </row>
    <row r="21" spans="1:3" ht="14.25">
      <c r="A21" t="s">
        <v>213</v>
      </c>
      <c r="B21">
        <v>0.6</v>
      </c>
      <c r="C2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40.25390625" style="0" customWidth="1"/>
    <col min="4" max="4" width="19.00390625" style="0" customWidth="1"/>
    <col min="6" max="6" width="18.625" style="0" customWidth="1"/>
    <col min="8" max="8" width="20.875" style="0" customWidth="1"/>
  </cols>
  <sheetData>
    <row r="1" ht="15">
      <c r="A1" s="34" t="s">
        <v>144</v>
      </c>
    </row>
    <row r="2" ht="14.25">
      <c r="A2" t="s">
        <v>145</v>
      </c>
    </row>
    <row r="3" spans="1:8" ht="28.5">
      <c r="A3" s="33" t="s">
        <v>72</v>
      </c>
      <c r="B3" s="33">
        <f>'Voorblad-Overzicht'!$C$12</f>
        <v>10</v>
      </c>
      <c r="C3" s="33" t="s">
        <v>75</v>
      </c>
      <c r="D3" s="35" t="s">
        <v>60</v>
      </c>
      <c r="E3" s="33"/>
      <c r="F3" s="37" t="s">
        <v>74</v>
      </c>
      <c r="G3" s="33"/>
      <c r="H3" s="33" t="s">
        <v>76</v>
      </c>
    </row>
    <row r="5" spans="1:8" ht="14.25">
      <c r="A5" t="s">
        <v>130</v>
      </c>
      <c r="C5">
        <f>eenheidsprijzen!$B$4</f>
        <v>35</v>
      </c>
      <c r="F5">
        <v>1</v>
      </c>
      <c r="H5">
        <f>+F5*C5</f>
        <v>35</v>
      </c>
    </row>
    <row r="8" ht="15">
      <c r="A8" s="34" t="s">
        <v>146</v>
      </c>
    </row>
    <row r="10" spans="1:8" s="33" customFormat="1" ht="28.5">
      <c r="A10" s="33" t="s">
        <v>72</v>
      </c>
      <c r="B10" s="33">
        <v>100</v>
      </c>
      <c r="C10" s="33" t="s">
        <v>75</v>
      </c>
      <c r="D10" s="35" t="s">
        <v>60</v>
      </c>
      <c r="F10" s="37" t="s">
        <v>74</v>
      </c>
      <c r="H10" s="33" t="s">
        <v>76</v>
      </c>
    </row>
    <row r="11" spans="1:6" s="33" customFormat="1" ht="15">
      <c r="A11" s="33" t="s">
        <v>148</v>
      </c>
      <c r="D11" s="35"/>
      <c r="F11" s="37"/>
    </row>
    <row r="12" spans="1:6" ht="15">
      <c r="A12" t="s">
        <v>147</v>
      </c>
      <c r="B12">
        <v>100</v>
      </c>
      <c r="D12" s="34"/>
      <c r="F12" s="36"/>
    </row>
    <row r="13" spans="1:6" s="33" customFormat="1" ht="15">
      <c r="A13" s="35" t="s">
        <v>149</v>
      </c>
      <c r="B13" s="33">
        <f>'Voorblad-Overzicht'!$C$13</f>
        <v>10</v>
      </c>
      <c r="D13" s="35"/>
      <c r="F13" s="37"/>
    </row>
    <row r="14" spans="1:8" ht="15">
      <c r="A14" t="s">
        <v>59</v>
      </c>
      <c r="C14">
        <f>eenheidsprijzen!$B$7</f>
        <v>1.55</v>
      </c>
      <c r="D14" s="34">
        <f>+B12*B13</f>
        <v>1000</v>
      </c>
      <c r="F14" s="36"/>
      <c r="H14">
        <f>+C14*D14</f>
        <v>1550</v>
      </c>
    </row>
    <row r="15" spans="4:6" ht="15">
      <c r="D15" s="34"/>
      <c r="F15" s="36"/>
    </row>
    <row r="16" spans="1:8" ht="15">
      <c r="A16" s="34" t="s">
        <v>61</v>
      </c>
      <c r="C16">
        <f>eenheidsprijzen!$B$9</f>
        <v>10</v>
      </c>
      <c r="D16" s="34">
        <f>+D14*B17</f>
        <v>18</v>
      </c>
      <c r="F16" s="36"/>
      <c r="H16">
        <f>+D16*C16</f>
        <v>180</v>
      </c>
    </row>
    <row r="17" spans="1:6" ht="15">
      <c r="A17" t="s">
        <v>58</v>
      </c>
      <c r="B17">
        <v>0.018</v>
      </c>
      <c r="D17" s="34"/>
      <c r="F17" s="36"/>
    </row>
    <row r="18" spans="4:6" ht="15">
      <c r="D18" s="34"/>
      <c r="F18" s="36"/>
    </row>
    <row r="19" spans="1:6" ht="15">
      <c r="A19" s="34" t="s">
        <v>73</v>
      </c>
      <c r="B19" s="34">
        <f>+(3600/B21)*B20</f>
        <v>216</v>
      </c>
      <c r="D19" s="34"/>
      <c r="F19" s="36">
        <f>+D14/B19</f>
        <v>4.62962962962963</v>
      </c>
    </row>
    <row r="20" spans="1:6" ht="15">
      <c r="A20" t="s">
        <v>69</v>
      </c>
      <c r="B20">
        <v>3</v>
      </c>
      <c r="D20" s="34"/>
      <c r="F20" s="36"/>
    </row>
    <row r="21" spans="1:6" ht="15">
      <c r="A21" t="s">
        <v>70</v>
      </c>
      <c r="B21">
        <v>50</v>
      </c>
      <c r="D21" s="34"/>
      <c r="F21" s="36"/>
    </row>
    <row r="22" spans="4:6" ht="15">
      <c r="D22" s="34"/>
      <c r="F22" s="36"/>
    </row>
    <row r="23" spans="1:6" ht="15">
      <c r="A23" s="34" t="s">
        <v>68</v>
      </c>
      <c r="D23" s="34"/>
      <c r="F23" s="36"/>
    </row>
    <row r="24" spans="1:8" ht="15">
      <c r="A24" t="s">
        <v>71</v>
      </c>
      <c r="B24">
        <v>1</v>
      </c>
      <c r="C24">
        <f>eenheidsprijzen!$B$15</f>
        <v>70</v>
      </c>
      <c r="D24" s="34">
        <f>+B24</f>
        <v>1</v>
      </c>
      <c r="F24" s="36">
        <f>+F19</f>
        <v>4.62962962962963</v>
      </c>
      <c r="H24">
        <f>+C24*D24*F24</f>
        <v>324.0740740740741</v>
      </c>
    </row>
    <row r="25" spans="1:8" ht="15">
      <c r="A25" t="s">
        <v>78</v>
      </c>
      <c r="B25">
        <f>+B20</f>
        <v>3</v>
      </c>
      <c r="C25">
        <f>eenheidsprijzen!$B$4</f>
        <v>35</v>
      </c>
      <c r="D25" s="34">
        <f>+B25</f>
        <v>3</v>
      </c>
      <c r="F25" s="36">
        <f>+F19</f>
        <v>4.62962962962963</v>
      </c>
      <c r="H25">
        <f>+C25*D25*F25</f>
        <v>486.11111111111114</v>
      </c>
    </row>
    <row r="26" spans="4:6" ht="15">
      <c r="D26" s="34"/>
      <c r="F26" s="36"/>
    </row>
    <row r="27" spans="1:6" s="34" customFormat="1" ht="15">
      <c r="A27" s="34" t="s">
        <v>64</v>
      </c>
      <c r="F27" s="38"/>
    </row>
    <row r="28" spans="1:8" ht="15">
      <c r="A28" t="s">
        <v>62</v>
      </c>
      <c r="C28">
        <v>0</v>
      </c>
      <c r="D28" s="34"/>
      <c r="F28" s="36">
        <f>+B19/1000</f>
        <v>0.216</v>
      </c>
      <c r="H28">
        <v>0</v>
      </c>
    </row>
    <row r="29" spans="1:8" ht="15">
      <c r="A29" t="s">
        <v>65</v>
      </c>
      <c r="B29">
        <v>15</v>
      </c>
      <c r="C29">
        <f>eenheidsprijzen!$B$4</f>
        <v>35</v>
      </c>
      <c r="D29" s="34"/>
      <c r="F29" s="36">
        <f>$F$28</f>
        <v>0.216</v>
      </c>
      <c r="H29">
        <f>+B29*C29*F29</f>
        <v>113.4</v>
      </c>
    </row>
    <row r="30" spans="1:8" ht="15">
      <c r="A30" t="s">
        <v>63</v>
      </c>
      <c r="B30">
        <v>1</v>
      </c>
      <c r="C30">
        <f>eenheidsprijzen!$B$17</f>
        <v>60</v>
      </c>
      <c r="D30" s="34"/>
      <c r="F30" s="36">
        <f>$F$28</f>
        <v>0.216</v>
      </c>
      <c r="H30">
        <f>+B30*C30*F30</f>
        <v>12.959999999999999</v>
      </c>
    </row>
    <row r="31" spans="1:8" ht="15">
      <c r="A31" t="s">
        <v>79</v>
      </c>
      <c r="C31">
        <f>eenheidsprijzen!$B$9</f>
        <v>10</v>
      </c>
      <c r="D31" s="34"/>
      <c r="F31" s="36">
        <f>$F$28</f>
        <v>0.216</v>
      </c>
      <c r="H31">
        <v>0</v>
      </c>
    </row>
    <row r="32" spans="1:8" ht="15">
      <c r="A32" t="s">
        <v>67</v>
      </c>
      <c r="B32">
        <v>1</v>
      </c>
      <c r="C32">
        <f>eenheidsprijzen!$B$3</f>
        <v>75</v>
      </c>
      <c r="D32" s="34"/>
      <c r="F32" s="36">
        <f>$F$28</f>
        <v>0.216</v>
      </c>
      <c r="H32">
        <f>+B32*C32*F32</f>
        <v>16.2</v>
      </c>
    </row>
    <row r="33" spans="1:8" ht="15">
      <c r="A33" t="s">
        <v>80</v>
      </c>
      <c r="C33">
        <v>1.55</v>
      </c>
      <c r="D33" s="34"/>
      <c r="F33" s="36">
        <f>$F$28</f>
        <v>0.216</v>
      </c>
      <c r="H33">
        <v>0</v>
      </c>
    </row>
    <row r="34" spans="1:6" ht="15">
      <c r="A34" t="s">
        <v>66</v>
      </c>
      <c r="D34" s="34"/>
      <c r="F34" s="36"/>
    </row>
    <row r="35" spans="4:8" ht="15">
      <c r="D35" s="34"/>
      <c r="E35" s="36" t="s">
        <v>81</v>
      </c>
      <c r="F35" s="36">
        <f>SUM(F19)</f>
        <v>4.62962962962963</v>
      </c>
      <c r="H35" s="34">
        <f>SUM(H13:H34)</f>
        <v>2682.745185185185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Waterschap Groot Salland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van Mispelaar - Schalkx</dc:creator>
  <cp:keywords/>
  <dc:description/>
  <cp:lastModifiedBy>Dirk de Lange</cp:lastModifiedBy>
  <cp:lastPrinted>2011-10-12T16:05:14Z</cp:lastPrinted>
  <dcterms:created xsi:type="dcterms:W3CDTF">2011-10-12T15:50:23Z</dcterms:created>
  <dcterms:modified xsi:type="dcterms:W3CDTF">2014-11-07T12:58:54Z</dcterms:modified>
  <cp:category/>
  <cp:version/>
  <cp:contentType/>
  <cp:contentStatus/>
</cp:coreProperties>
</file>